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Анастасия\From_D\Документы\Платные услуги\2025\"/>
    </mc:Choice>
  </mc:AlternateContent>
  <xr:revisionPtr revIDLastSave="0" documentId="13_ncr:1_{DBEF219C-B4D3-4C15-BA92-B3129E9CE0BE}" xr6:coauthVersionLast="43" xr6:coauthVersionMax="43" xr10:uidLastSave="{00000000-0000-0000-0000-000000000000}"/>
  <bookViews>
    <workbookView xWindow="-120" yWindow="-120" windowWidth="29040" windowHeight="15840" tabRatio="838" xr2:uid="{00000000-000D-0000-FFFF-FFFF00000000}"/>
  </bookViews>
  <sheets>
    <sheet name="Табл.1-расчет стоимости" sheetId="11" r:id="rId1"/>
    <sheet name="Табл.2-программа по услуге" sheetId="5" r:id="rId2"/>
    <sheet name="Табл.3 - ФОТ" sheetId="1" r:id="rId3"/>
    <sheet name="Табл.4-материалы" sheetId="7" r:id="rId4"/>
    <sheet name="Табл.5-амортизация" sheetId="8" r:id="rId5"/>
    <sheet name="Табл.6-ГСМ" sheetId="9" r:id="rId6"/>
    <sheet name="Табл.7-прочие затраты" sheetId="10" r:id="rId7"/>
    <sheet name="Табл.8-накладные расходы" sheetId="6" r:id="rId8"/>
  </sheets>
  <definedNames>
    <definedName name="_xlnm.Print_Area" localSheetId="0">'Табл.1-расчет стоимости'!$A$1:$N$25</definedName>
    <definedName name="_xlnm.Print_Area" localSheetId="1">'Табл.2-программа по услуге'!$A$1:$I$17</definedName>
    <definedName name="_xlnm.Print_Area" localSheetId="2">'Табл.3 - ФОТ'!$A$1:$Z$20</definedName>
    <definedName name="_xlnm.Print_Area" localSheetId="3">'Табл.4-материалы'!$A$1:$K$62</definedName>
    <definedName name="_xlnm.Print_Area" localSheetId="4">'Табл.5-амортизация'!$A$1:$K$31</definedName>
    <definedName name="_xlnm.Print_Area" localSheetId="5">'Табл.6-ГСМ'!$A$1:$J$11</definedName>
    <definedName name="_xlnm.Print_Area" localSheetId="6">'Табл.7-прочие затраты'!$A$1:$I$23</definedName>
    <definedName name="_xlnm.Print_Area" localSheetId="7">'Табл.8-накладные расходы'!$A$1:$M$11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1" l="1"/>
  <c r="F21" i="11"/>
  <c r="G59" i="7"/>
  <c r="H59" i="7" s="1"/>
  <c r="G58" i="7"/>
  <c r="H58" i="7" s="1"/>
  <c r="H29" i="8"/>
  <c r="H28" i="8"/>
  <c r="C21" i="10" l="1"/>
  <c r="C19" i="10"/>
  <c r="B21" i="10"/>
  <c r="F21" i="10"/>
  <c r="H21" i="10" s="1"/>
  <c r="F22" i="10"/>
  <c r="H22" i="10" s="1"/>
  <c r="B28" i="8"/>
  <c r="F28" i="8"/>
  <c r="J28" i="8" s="1"/>
  <c r="F29" i="8"/>
  <c r="J29" i="8" s="1"/>
  <c r="B58" i="7"/>
  <c r="J59" i="7"/>
  <c r="J58" i="7"/>
  <c r="E21" i="11" s="1"/>
  <c r="B18" i="1"/>
  <c r="H18" i="1"/>
  <c r="J18" i="1"/>
  <c r="T18" i="1"/>
  <c r="B16" i="5"/>
  <c r="E16" i="5"/>
  <c r="H16" i="5"/>
  <c r="G8" i="7"/>
  <c r="G10" i="7"/>
  <c r="G15" i="7"/>
  <c r="K58" i="7" l="1"/>
  <c r="K28" i="8"/>
  <c r="I21" i="10"/>
  <c r="M18" i="1"/>
  <c r="O18" i="1" s="1"/>
  <c r="Q18" i="1" s="1"/>
  <c r="R18" i="1" s="1"/>
  <c r="U18" i="1" s="1"/>
  <c r="V18" i="1" l="1"/>
  <c r="X18" i="1" s="1"/>
  <c r="Z18" i="1" s="1"/>
  <c r="D21" i="11" s="1"/>
  <c r="H15" i="11" l="1"/>
  <c r="H16" i="11"/>
  <c r="F22" i="8"/>
  <c r="J22" i="8" s="1"/>
  <c r="F20" i="11"/>
  <c r="F16" i="11"/>
  <c r="F17" i="11"/>
  <c r="H27" i="8"/>
  <c r="H26" i="8"/>
  <c r="H25" i="8"/>
  <c r="H24" i="8"/>
  <c r="H23" i="8"/>
  <c r="H22" i="8"/>
  <c r="H21" i="8"/>
  <c r="H20" i="8"/>
  <c r="H19" i="8"/>
  <c r="H18" i="8"/>
  <c r="K16" i="8"/>
  <c r="B26" i="8"/>
  <c r="F27" i="8"/>
  <c r="J27" i="8" s="1"/>
  <c r="F26" i="8"/>
  <c r="B22" i="8"/>
  <c r="C22" i="8"/>
  <c r="F23" i="8"/>
  <c r="F24" i="8"/>
  <c r="F25" i="8"/>
  <c r="J25" i="8" s="1"/>
  <c r="B18" i="8"/>
  <c r="F21" i="8"/>
  <c r="F20" i="8"/>
  <c r="F19" i="8"/>
  <c r="J18" i="8"/>
  <c r="F18" i="8"/>
  <c r="C18" i="8"/>
  <c r="B16" i="8"/>
  <c r="H17" i="8"/>
  <c r="J17" i="8" s="1"/>
  <c r="F17" i="8"/>
  <c r="H16" i="8"/>
  <c r="F16" i="8"/>
  <c r="G53" i="7"/>
  <c r="H53" i="7" s="1"/>
  <c r="G52" i="7"/>
  <c r="H52" i="7" s="1"/>
  <c r="J52" i="7" s="1"/>
  <c r="G51" i="7"/>
  <c r="H51" i="7" s="1"/>
  <c r="G54" i="7"/>
  <c r="H54" i="7" s="1"/>
  <c r="H56" i="7"/>
  <c r="J56" i="7" s="1"/>
  <c r="G57" i="7"/>
  <c r="H57" i="7" s="1"/>
  <c r="G55" i="7"/>
  <c r="B55" i="7"/>
  <c r="B54" i="7"/>
  <c r="B51" i="7"/>
  <c r="F20" i="10"/>
  <c r="H20" i="10" s="1"/>
  <c r="F19" i="10"/>
  <c r="H19" i="10" s="1"/>
  <c r="F18" i="10"/>
  <c r="H18" i="10" s="1"/>
  <c r="F17" i="10"/>
  <c r="H17" i="10" s="1"/>
  <c r="F15" i="10"/>
  <c r="H15" i="10" s="1"/>
  <c r="C17" i="10"/>
  <c r="B19" i="10"/>
  <c r="B15" i="10"/>
  <c r="C15" i="10"/>
  <c r="F16" i="10"/>
  <c r="H16" i="10" s="1"/>
  <c r="B17" i="10"/>
  <c r="G50" i="7"/>
  <c r="H50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J43" i="7" s="1"/>
  <c r="G41" i="7"/>
  <c r="H41" i="7" s="1"/>
  <c r="G42" i="7"/>
  <c r="H42" i="7" s="1"/>
  <c r="J42" i="7" s="1"/>
  <c r="G40" i="7"/>
  <c r="H40" i="7" s="1"/>
  <c r="B40" i="7"/>
  <c r="H17" i="1"/>
  <c r="M17" i="1" s="1"/>
  <c r="B16" i="1"/>
  <c r="H16" i="1"/>
  <c r="J16" i="1"/>
  <c r="T16" i="1"/>
  <c r="B17" i="1"/>
  <c r="J17" i="1"/>
  <c r="T17" i="1"/>
  <c r="B15" i="1"/>
  <c r="T15" i="1"/>
  <c r="J15" i="1"/>
  <c r="H15" i="1"/>
  <c r="M15" i="1" s="1"/>
  <c r="B14" i="1"/>
  <c r="T14" i="1"/>
  <c r="J14" i="1"/>
  <c r="H14" i="1"/>
  <c r="B15" i="5"/>
  <c r="B14" i="5"/>
  <c r="B13" i="5"/>
  <c r="B12" i="5"/>
  <c r="E12" i="5"/>
  <c r="H12" i="5"/>
  <c r="E13" i="5"/>
  <c r="H13" i="5"/>
  <c r="E14" i="5"/>
  <c r="H14" i="5"/>
  <c r="E15" i="5"/>
  <c r="H15" i="5"/>
  <c r="G38" i="7"/>
  <c r="H38" i="7" s="1"/>
  <c r="J38" i="7" s="1"/>
  <c r="G39" i="7"/>
  <c r="H39" i="7" s="1"/>
  <c r="J39" i="7" s="1"/>
  <c r="J24" i="8" l="1"/>
  <c r="J26" i="8"/>
  <c r="K26" i="8" s="1"/>
  <c r="J23" i="8"/>
  <c r="K22" i="8" s="1"/>
  <c r="F19" i="11" s="1"/>
  <c r="J16" i="8"/>
  <c r="J20" i="8"/>
  <c r="J21" i="8"/>
  <c r="J19" i="8"/>
  <c r="J57" i="7"/>
  <c r="K21" i="11" s="1"/>
  <c r="L21" i="11" s="1"/>
  <c r="N21" i="11" s="1"/>
  <c r="H55" i="7"/>
  <c r="J55" i="7" s="1"/>
  <c r="J53" i="7"/>
  <c r="J51" i="7"/>
  <c r="E18" i="11" s="1"/>
  <c r="J54" i="7"/>
  <c r="E19" i="11" s="1"/>
  <c r="I15" i="10"/>
  <c r="I17" i="10"/>
  <c r="I19" i="10"/>
  <c r="J46" i="7"/>
  <c r="J45" i="7"/>
  <c r="J44" i="7"/>
  <c r="J41" i="7"/>
  <c r="J50" i="7"/>
  <c r="J49" i="7"/>
  <c r="J47" i="7"/>
  <c r="J48" i="7"/>
  <c r="J40" i="7"/>
  <c r="M14" i="1"/>
  <c r="O14" i="1" s="1"/>
  <c r="M16" i="1"/>
  <c r="O16" i="1" s="1"/>
  <c r="O17" i="1"/>
  <c r="O15" i="1"/>
  <c r="Q15" i="1" s="1"/>
  <c r="R15" i="1" s="1"/>
  <c r="H8" i="7"/>
  <c r="J8" i="7" s="1"/>
  <c r="K55" i="7" l="1"/>
  <c r="E20" i="11"/>
  <c r="K18" i="8"/>
  <c r="F18" i="11" s="1"/>
  <c r="K51" i="7"/>
  <c r="K54" i="7"/>
  <c r="K40" i="7"/>
  <c r="Q14" i="1"/>
  <c r="R14" i="1" s="1"/>
  <c r="U14" i="1" s="1"/>
  <c r="V14" i="1" s="1"/>
  <c r="X14" i="1" s="1"/>
  <c r="Z14" i="1" s="1"/>
  <c r="D17" i="11" s="1"/>
  <c r="Q17" i="1"/>
  <c r="R17" i="1" s="1"/>
  <c r="Q16" i="1"/>
  <c r="R16" i="1" s="1"/>
  <c r="U15" i="1"/>
  <c r="V15" i="1" s="1"/>
  <c r="X15" i="1" s="1"/>
  <c r="Z15" i="1" s="1"/>
  <c r="D18" i="11" s="1"/>
  <c r="G34" i="7"/>
  <c r="H34" i="7" s="1"/>
  <c r="J34" i="7" s="1"/>
  <c r="G33" i="7"/>
  <c r="H33" i="7" s="1"/>
  <c r="J33" i="7" s="1"/>
  <c r="G32" i="7"/>
  <c r="H32" i="7" s="1"/>
  <c r="J32" i="7" s="1"/>
  <c r="G7" i="7"/>
  <c r="H7" i="7" s="1"/>
  <c r="J7" i="7" s="1"/>
  <c r="G9" i="7"/>
  <c r="H9" i="7" s="1"/>
  <c r="J9" i="7" s="1"/>
  <c r="F14" i="10"/>
  <c r="H14" i="10" s="1"/>
  <c r="F13" i="10"/>
  <c r="H13" i="10" s="1"/>
  <c r="F12" i="10"/>
  <c r="H12" i="10" s="1"/>
  <c r="F11" i="10"/>
  <c r="H11" i="10" s="1"/>
  <c r="F10" i="10"/>
  <c r="H10" i="10" s="1"/>
  <c r="F9" i="10"/>
  <c r="H9" i="10" s="1"/>
  <c r="C13" i="10"/>
  <c r="C11" i="10"/>
  <c r="C9" i="10"/>
  <c r="B13" i="10"/>
  <c r="B11" i="10"/>
  <c r="B9" i="10"/>
  <c r="U16" i="1" l="1"/>
  <c r="V16" i="1" s="1"/>
  <c r="X16" i="1" s="1"/>
  <c r="Z16" i="1" s="1"/>
  <c r="D19" i="11" s="1"/>
  <c r="U17" i="1"/>
  <c r="V17" i="1" s="1"/>
  <c r="X17" i="1" s="1"/>
  <c r="Z17" i="1" s="1"/>
  <c r="D20" i="11" s="1"/>
  <c r="I13" i="10"/>
  <c r="K7" i="7"/>
  <c r="E12" i="11" s="1"/>
  <c r="I11" i="10"/>
  <c r="H14" i="11" s="1"/>
  <c r="I9" i="10"/>
  <c r="H13" i="11" s="1"/>
  <c r="I7" i="6"/>
  <c r="B15" i="8"/>
  <c r="B14" i="8"/>
  <c r="B12" i="8"/>
  <c r="F15" i="8"/>
  <c r="H14" i="8"/>
  <c r="F14" i="8"/>
  <c r="B10" i="8"/>
  <c r="H13" i="8"/>
  <c r="H12" i="8"/>
  <c r="H11" i="8"/>
  <c r="H10" i="8"/>
  <c r="F13" i="8"/>
  <c r="F12" i="8"/>
  <c r="F11" i="8"/>
  <c r="F10" i="8"/>
  <c r="H9" i="8"/>
  <c r="H8" i="8"/>
  <c r="H7" i="8"/>
  <c r="H6" i="8"/>
  <c r="F9" i="8"/>
  <c r="F8" i="8"/>
  <c r="F7" i="8"/>
  <c r="F6" i="8"/>
  <c r="C6" i="8"/>
  <c r="G37" i="7"/>
  <c r="H37" i="7" s="1"/>
  <c r="J37" i="7" s="1"/>
  <c r="G36" i="7"/>
  <c r="H36" i="7" s="1"/>
  <c r="J36" i="7" s="1"/>
  <c r="G35" i="7"/>
  <c r="H35" i="7" s="1"/>
  <c r="J35" i="7" s="1"/>
  <c r="K35" i="7" s="1"/>
  <c r="B10" i="7"/>
  <c r="B21" i="7"/>
  <c r="G31" i="7"/>
  <c r="H31" i="7" s="1"/>
  <c r="J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J25" i="7" s="1"/>
  <c r="G24" i="7"/>
  <c r="H24" i="7" s="1"/>
  <c r="G23" i="7"/>
  <c r="H23" i="7" s="1"/>
  <c r="G22" i="7"/>
  <c r="H22" i="7" s="1"/>
  <c r="G21" i="7"/>
  <c r="G20" i="7"/>
  <c r="H20" i="7" s="1"/>
  <c r="J20" i="7" s="1"/>
  <c r="G19" i="7"/>
  <c r="H19" i="7" s="1"/>
  <c r="J19" i="7" s="1"/>
  <c r="G18" i="7"/>
  <c r="H18" i="7" s="1"/>
  <c r="J18" i="7" s="1"/>
  <c r="G17" i="7"/>
  <c r="H17" i="7" s="1"/>
  <c r="J17" i="7" s="1"/>
  <c r="G16" i="7"/>
  <c r="H16" i="7" s="1"/>
  <c r="J16" i="7" s="1"/>
  <c r="G14" i="7"/>
  <c r="H14" i="7" s="1"/>
  <c r="J14" i="7" s="1"/>
  <c r="G13" i="7"/>
  <c r="H13" i="7" s="1"/>
  <c r="J13" i="7" s="1"/>
  <c r="G12" i="7"/>
  <c r="H12" i="7" s="1"/>
  <c r="J12" i="7" s="1"/>
  <c r="G11" i="7"/>
  <c r="H11" i="7" s="1"/>
  <c r="J11" i="7" s="1"/>
  <c r="H10" i="7"/>
  <c r="J10" i="7" s="1"/>
  <c r="H15" i="7"/>
  <c r="J15" i="7" s="1"/>
  <c r="T13" i="1"/>
  <c r="J13" i="1"/>
  <c r="H13" i="1"/>
  <c r="T12" i="1"/>
  <c r="J12" i="1"/>
  <c r="H12" i="1"/>
  <c r="M12" i="1" s="1"/>
  <c r="T11" i="1"/>
  <c r="J11" i="1"/>
  <c r="H11" i="1"/>
  <c r="T10" i="1"/>
  <c r="J10" i="1"/>
  <c r="H10" i="1"/>
  <c r="M10" i="1" s="1"/>
  <c r="T9" i="1"/>
  <c r="J9" i="1"/>
  <c r="H9" i="1"/>
  <c r="H11" i="5"/>
  <c r="E11" i="5"/>
  <c r="H15" i="8" s="1"/>
  <c r="H10" i="5"/>
  <c r="E10" i="5"/>
  <c r="H9" i="5"/>
  <c r="E9" i="5"/>
  <c r="H8" i="5"/>
  <c r="E8" i="5"/>
  <c r="H7" i="5"/>
  <c r="E7" i="5"/>
  <c r="M11" i="1" l="1"/>
  <c r="O11" i="1" s="1"/>
  <c r="J14" i="8"/>
  <c r="K14" i="8" s="1"/>
  <c r="H17" i="11"/>
  <c r="E16" i="11"/>
  <c r="K10" i="7"/>
  <c r="M13" i="1"/>
  <c r="O13" i="1" s="1"/>
  <c r="Q13" i="1" s="1"/>
  <c r="M9" i="1"/>
  <c r="E15" i="11"/>
  <c r="E13" i="11"/>
  <c r="K36" i="7"/>
  <c r="J15" i="8"/>
  <c r="K15" i="8" s="1"/>
  <c r="J11" i="8"/>
  <c r="J13" i="8"/>
  <c r="J12" i="8"/>
  <c r="J10" i="8"/>
  <c r="J7" i="8"/>
  <c r="J8" i="8"/>
  <c r="J9" i="8"/>
  <c r="J6" i="8"/>
  <c r="H21" i="7"/>
  <c r="J21" i="7" s="1"/>
  <c r="J29" i="7"/>
  <c r="J28" i="7"/>
  <c r="J27" i="7"/>
  <c r="J26" i="7"/>
  <c r="J22" i="7"/>
  <c r="J24" i="7"/>
  <c r="J23" i="7"/>
  <c r="J30" i="7"/>
  <c r="O10" i="1"/>
  <c r="Q10" i="1"/>
  <c r="O12" i="1"/>
  <c r="Q12" i="1" s="1"/>
  <c r="E17" i="11" l="1"/>
  <c r="K12" i="8"/>
  <c r="F14" i="11" s="1"/>
  <c r="F15" i="11"/>
  <c r="K10" i="8"/>
  <c r="F13" i="11" s="1"/>
  <c r="O9" i="1"/>
  <c r="Q9" i="1" s="1"/>
  <c r="E14" i="11"/>
  <c r="K6" i="8"/>
  <c r="F12" i="11" s="1"/>
  <c r="R10" i="1"/>
  <c r="U10" i="1"/>
  <c r="V10" i="1" s="1"/>
  <c r="X10" i="1" s="1"/>
  <c r="Z10" i="1" s="1"/>
  <c r="D13" i="11" s="1"/>
  <c r="R13" i="1"/>
  <c r="R12" i="1"/>
  <c r="Q11" i="1"/>
  <c r="R11" i="1" s="1"/>
  <c r="R9" i="1" l="1"/>
  <c r="U9" i="1" s="1"/>
  <c r="U11" i="1"/>
  <c r="V11" i="1" s="1"/>
  <c r="X11" i="1" s="1"/>
  <c r="Z11" i="1" s="1"/>
  <c r="D14" i="11" s="1"/>
  <c r="U12" i="1"/>
  <c r="V12" i="1" s="1"/>
  <c r="X12" i="1" s="1"/>
  <c r="Z12" i="1" s="1"/>
  <c r="D15" i="11" s="1"/>
  <c r="U13" i="1"/>
  <c r="V13" i="1" s="1"/>
  <c r="X13" i="1" s="1"/>
  <c r="Z13" i="1" s="1"/>
  <c r="D16" i="11" s="1"/>
  <c r="V9" i="1" l="1"/>
  <c r="X9" i="1" s="1"/>
  <c r="Z9" i="1" s="1"/>
  <c r="D12" i="11" s="1"/>
  <c r="J7" i="6"/>
  <c r="K7" i="6" s="1"/>
  <c r="M7" i="6" s="1"/>
  <c r="C21" i="7"/>
  <c r="C7" i="10"/>
  <c r="B7" i="10"/>
  <c r="B7" i="7"/>
  <c r="I17" i="11" l="1"/>
  <c r="K17" i="11" s="1"/>
  <c r="L17" i="11" s="1"/>
  <c r="N17" i="11" s="1"/>
  <c r="I18" i="11"/>
  <c r="K18" i="11" s="1"/>
  <c r="L18" i="11" s="1"/>
  <c r="N18" i="11" s="1"/>
  <c r="I19" i="11"/>
  <c r="K19" i="11" s="1"/>
  <c r="L19" i="11" s="1"/>
  <c r="N19" i="11" s="1"/>
  <c r="I20" i="11"/>
  <c r="K20" i="11" s="1"/>
  <c r="L20" i="11" s="1"/>
  <c r="N20" i="11" s="1"/>
  <c r="I16" i="11"/>
  <c r="K16" i="11" s="1"/>
  <c r="I15" i="11"/>
  <c r="K15" i="11" s="1"/>
  <c r="L15" i="11" s="1"/>
  <c r="N15" i="11" s="1"/>
  <c r="I13" i="11"/>
  <c r="K13" i="11" s="1"/>
  <c r="L13" i="11" s="1"/>
  <c r="N13" i="11" s="1"/>
  <c r="I14" i="11"/>
  <c r="K14" i="11" s="1"/>
  <c r="L14" i="11" s="1"/>
  <c r="N14" i="11" s="1"/>
  <c r="F8" i="10"/>
  <c r="H8" i="10" s="1"/>
  <c r="F7" i="10"/>
  <c r="H7" i="10" s="1"/>
  <c r="K21" i="7" l="1"/>
  <c r="I7" i="10"/>
  <c r="H12" i="11" l="1"/>
  <c r="I12" i="11" l="1"/>
  <c r="K12" i="11" s="1"/>
  <c r="L12" i="11" l="1"/>
  <c r="N12" i="11" s="1"/>
  <c r="L16" i="11"/>
  <c r="N16" i="11" s="1"/>
</calcChain>
</file>

<file path=xl/sharedStrings.xml><?xml version="1.0" encoding="utf-8"?>
<sst xmlns="http://schemas.openxmlformats.org/spreadsheetml/2006/main" count="432" uniqueCount="209">
  <si>
    <t>Должность</t>
  </si>
  <si>
    <t>Доплата за классное руководство</t>
  </si>
  <si>
    <t>Наименование учреждения</t>
  </si>
  <si>
    <t>Надбавки, руб.</t>
  </si>
  <si>
    <t>%</t>
  </si>
  <si>
    <t>сумма</t>
  </si>
  <si>
    <t>Должностной оклад</t>
  </si>
  <si>
    <t>Коэффициент квалификации</t>
  </si>
  <si>
    <t>Всего надбавок</t>
  </si>
  <si>
    <t>ФОТ в месяц с РК</t>
  </si>
  <si>
    <t>Фонд отпускных, руб.</t>
  </si>
  <si>
    <t>ФОТ в год</t>
  </si>
  <si>
    <t>Ежемесячная премия с РК и доп.комп., руб.</t>
  </si>
  <si>
    <t>Доп. компенсация, руб</t>
  </si>
  <si>
    <t>Годовое денежное содержание с ЕСН, руб.</t>
  </si>
  <si>
    <t xml:space="preserve">Коэффициент за сложность </t>
  </si>
  <si>
    <t>Наполняемость группы, чел.</t>
  </si>
  <si>
    <t xml:space="preserve">* </t>
  </si>
  <si>
    <t>№ п/п</t>
  </si>
  <si>
    <t>8=гр6*гр7</t>
  </si>
  <si>
    <t>10=гр6*гр9</t>
  </si>
  <si>
    <t>13=гр8+гр10+гр11+гр12</t>
  </si>
  <si>
    <t>15=(гр6+гр13)*гр14</t>
  </si>
  <si>
    <t>17=(гр6+гр13+гр15)*гр16</t>
  </si>
  <si>
    <t>20=гр6*гр19*1,15*1,217</t>
  </si>
  <si>
    <t>24=гр22*1,302</t>
  </si>
  <si>
    <t>Затраты на оплату труда персонала сопровождения учреждения с ЕСН, руб/год</t>
  </si>
  <si>
    <t>Затраты на оплату услуг связи, руб/год</t>
  </si>
  <si>
    <t>*</t>
  </si>
  <si>
    <t>Затраты на коммунальные услуги, руб/год</t>
  </si>
  <si>
    <t>Затраты по содержанию имущества, руб/год</t>
  </si>
  <si>
    <t>Прочие затраты, руб/год</t>
  </si>
  <si>
    <t>Всего затрат, руб/год</t>
  </si>
  <si>
    <t>**</t>
  </si>
  <si>
    <t>К данной форме предоставляются подтверждающие первичные документы (план ФХД с расшифровкой по внебюджетной деятельности, оборотно-сальдовые ведомости и пр.)</t>
  </si>
  <si>
    <t>клей</t>
  </si>
  <si>
    <t>Стоимость, руб за шт/уп/ед/пара</t>
  </si>
  <si>
    <t>Затраты на приобретение материальных запасов, руб/год</t>
  </si>
  <si>
    <t>Наименование оборудования</t>
  </si>
  <si>
    <t>Годовая норма износа, %</t>
  </si>
  <si>
    <t>Балансовая стоимость оборудования, руб.</t>
  </si>
  <si>
    <t>22=гр18*11+гр20*12+гр21</t>
  </si>
  <si>
    <t>Наименование материалов</t>
  </si>
  <si>
    <t xml:space="preserve">Расчет отчислений, руб. </t>
  </si>
  <si>
    <t>6=100%/гр5*12мес</t>
  </si>
  <si>
    <t>К данной форме предоставляются подтверждающие первичные документы (оборотно-сальдовая ведомость по амортизационным отчислениям и пр.)</t>
  </si>
  <si>
    <t>Норма рабочего времени в год, час</t>
  </si>
  <si>
    <t>Вид топлива</t>
  </si>
  <si>
    <t>Расход с учетом пробега, л.</t>
  </si>
  <si>
    <t>Сумма, руб.</t>
  </si>
  <si>
    <t>Норма расхода топлива на 100 км, л.</t>
  </si>
  <si>
    <t>Наименование прочих затрат</t>
  </si>
  <si>
    <t>вода</t>
  </si>
  <si>
    <t xml:space="preserve">Стоимость, руб за шт/уп/ед/л. </t>
  </si>
  <si>
    <t>Затраты на материалы, руб.</t>
  </si>
  <si>
    <t>Затраты на оплату труда основного персонала с ЕСН, руб.</t>
  </si>
  <si>
    <t>Затраты на амортизацию, руб.</t>
  </si>
  <si>
    <t>Затраты на ГСМ, руб.</t>
  </si>
  <si>
    <t>Накладные (общехозяйственные) расходы, руб.</t>
  </si>
  <si>
    <t>расчетный</t>
  </si>
  <si>
    <t>к применению в расчете</t>
  </si>
  <si>
    <t>Итого затрат, руб.</t>
  </si>
  <si>
    <t>единица измерения</t>
  </si>
  <si>
    <t>стоимость</t>
  </si>
  <si>
    <t>рублей/занятие</t>
  </si>
  <si>
    <t>рублей/час</t>
  </si>
  <si>
    <t>Количество штатных единиц, чел.</t>
  </si>
  <si>
    <t>в минутах</t>
  </si>
  <si>
    <t>в часах</t>
  </si>
  <si>
    <t>на 1 чел.</t>
  </si>
  <si>
    <t>на группу</t>
  </si>
  <si>
    <t>Цена за 1л., руб.</t>
  </si>
  <si>
    <t>Одноразовые стаканы</t>
  </si>
  <si>
    <t>11=(гр4+гр5+гр6+гр7+гр8+гр9)*гр10</t>
  </si>
  <si>
    <t>12=гр4+гр5+гр6+гр7+гр8+гр9+гр11</t>
  </si>
  <si>
    <t>Срок полезного использования, (мес.)</t>
  </si>
  <si>
    <t>К данной форме предоставляются подтверждающие первичные документы (локальные нормативные акты учреждения по утверждению норм расхода топлива, отсылочные нормы на законодательные документы и пр.)</t>
  </si>
  <si>
    <t>7=гр5/100км*гр6</t>
  </si>
  <si>
    <t>9=гр7*гр8</t>
  </si>
  <si>
    <t>9=гр3+гр4+гр5+гр6+гр7+гр8</t>
  </si>
  <si>
    <t>11=гр9/гр10</t>
  </si>
  <si>
    <t>Уровень рентабельности не должен превышать 20%.</t>
  </si>
  <si>
    <t>Коэффициент накладных расходов не должен превышать 1.</t>
  </si>
  <si>
    <t>&lt;1&gt;</t>
  </si>
  <si>
    <t>Коэффициент накладных (общехозяйственных) расходов &lt;1&gt;</t>
  </si>
  <si>
    <t>Коэффициент =1</t>
  </si>
  <si>
    <t>Таблица 1</t>
  </si>
  <si>
    <t>4=гр26(Табл.3)</t>
  </si>
  <si>
    <t>6=гр11(Табл.5)</t>
  </si>
  <si>
    <t>7=гр10(Табл.6)</t>
  </si>
  <si>
    <t>8=гр9(Табл.7)</t>
  </si>
  <si>
    <t>Таблица 8</t>
  </si>
  <si>
    <t>Таблица 7</t>
  </si>
  <si>
    <t>Таблица 6</t>
  </si>
  <si>
    <t>Таблица 5</t>
  </si>
  <si>
    <t>Таблица 4</t>
  </si>
  <si>
    <t>Таблица 3</t>
  </si>
  <si>
    <t>Таблица 2</t>
  </si>
  <si>
    <t>9=гр4(Табл.1)*гр13(Табл.8)</t>
  </si>
  <si>
    <t>5= 1час/ 60 мин*гр4</t>
  </si>
  <si>
    <t>Наименование услуги/ работы</t>
  </si>
  <si>
    <t>Продолжительность
 услуги/ работы</t>
  </si>
  <si>
    <t>Количество услуг/ работ в месяц, ед.</t>
  </si>
  <si>
    <t>Количество месяцев оказания услуг/ работ, мес.</t>
  </si>
  <si>
    <t>Количество услуг/ работ в год, ед.</t>
  </si>
  <si>
    <t>Расчет оплаты труда основного персонала, который непосредственно участвует в оказании платных услуг/работ</t>
  </si>
  <si>
    <t>Наименование услуг/работ</t>
  </si>
  <si>
    <t>Иные надбавки</t>
  </si>
  <si>
    <t>Районный коэффициент (РК), руб</t>
  </si>
  <si>
    <t>Затраты на оплату труда основного персонала с ЕСН на 1 услугу/работу с учетом продолжительности услуги, руб.</t>
  </si>
  <si>
    <t>Норма времени в год, ч.&lt;1&gt;</t>
  </si>
  <si>
    <t>18=гр6+гр13+ гр15+гр17</t>
  </si>
  <si>
    <t>21=(гр18+гр20)* 12/12/29,3*28</t>
  </si>
  <si>
    <t>Расчет затрат на материалы, которые непосредственно используются при оказании платных услуг/работ</t>
  </si>
  <si>
    <t>Расчетный тариф 
на 1 услугу/работу с 1 чел.</t>
  </si>
  <si>
    <t>Программа (план) оказания платных услуг/работ</t>
  </si>
  <si>
    <t>К данной форме предоставляются подтверждающие первичные документы (приказ учреждения, программа (план) оказания платных услуг/работ и пр.)</t>
  </si>
  <si>
    <t>Затраты на материалы на группу на 1 услугу/работу, руб.</t>
  </si>
  <si>
    <t>Всего затрат на материалы на 1 услугу/работу на группу по учреждению, руб.</t>
  </si>
  <si>
    <t>Расчет затрат амортизации имущества, которое непосредственно задействовано при оказании платных услуг/работ</t>
  </si>
  <si>
    <t>Время работы оборудования, необходимое для услуг/работ, час</t>
  </si>
  <si>
    <t>Всего затрат по амортизационным отчислениям по 1 услуге/работе, руб.</t>
  </si>
  <si>
    <t>Расчет затрат на ГСМ, непосредственно используемых при оказании услуг/работ</t>
  </si>
  <si>
    <t>Пробег при оказании услуг/работ, км.</t>
  </si>
  <si>
    <t>Всего затрат по ГСМ по 1 услуге/работе, руб.</t>
  </si>
  <si>
    <t>Расчет прочих расходов, которые непосредственно используются при оказании платных услуг/работ</t>
  </si>
  <si>
    <t>Норма расхода прочих затрат на 1 услугу/работу, шт/уп/ед/л. (*)</t>
  </si>
  <si>
    <t>Затраты на прочие расходы на группу на 1 услугу/работу, руб.</t>
  </si>
  <si>
    <t>Всего прочих расходов на 1 услугу/работу по учреждению, руб.</t>
  </si>
  <si>
    <t>9=сумма затрат по учреждению по услуге/работе по гр.8</t>
  </si>
  <si>
    <t>Накладные(общехозяйственные) расходы для оказания платных услуг/работ по учреждениям</t>
  </si>
  <si>
    <t>Затраты на оплату труда основного персонала, который непосредственно участвует в оказании услуг/работ, руб/год</t>
  </si>
  <si>
    <t>Норма расхода материалов на весь период оказания услуг/работ (шт/уп/ед/пара и пр.)</t>
  </si>
  <si>
    <t>ед.изм.</t>
  </si>
  <si>
    <t>7=гр6(Табл.4)* гр9(Табл.2)</t>
  </si>
  <si>
    <t>8=гр7(Табл.4)/ гр8(Табл.2)</t>
  </si>
  <si>
    <t>10=гр.8*гр9</t>
  </si>
  <si>
    <t>26=гр24(Табл.3)/ гр25(Табл.3)* гр5(Табл.2)</t>
  </si>
  <si>
    <t>К данной форме предоставляются подтверждающие первичные документы (штатное расписание, тарифицированный список, оборотно-сальдовая ведомость, расчет стоимости ученико-часа («елочка») и пр.)</t>
  </si>
  <si>
    <t>Рентабельность, руб. &lt;1&gt;</t>
  </si>
  <si>
    <t>5=гр11(Табл.4)</t>
  </si>
  <si>
    <t>14=гр12(Табл.1)/ гр9(Табл.2)</t>
  </si>
  <si>
    <t>шт.</t>
  </si>
  <si>
    <t>Норма расхода на группу на 1 услугу/работу (шт/уп/ед/пара)</t>
  </si>
  <si>
    <t>10=гр6*гр7/гр9* гр8</t>
  </si>
  <si>
    <t>8=гр5(Табл.2)</t>
  </si>
  <si>
    <t>К данной форме предоставляются подтверждающие первичные документы по норме расхода прочих затрат и стоимости (отсылочные нормы на законодательные документы по норме расхода в сфере оказания услуг/работ, локальные нормативные акты учреждения, оборотно-сальдовые ведомости, прайсы на стоимость и пр.)</t>
  </si>
  <si>
    <t>10=сумма затрат по учреждению по услуге/работе по гр.9</t>
  </si>
  <si>
    <t>11=сумма затрат по учреждению по услуге/работе по гр.10</t>
  </si>
  <si>
    <t>6=гр5(Табл.7)* гр9(Табл.2)</t>
  </si>
  <si>
    <t>Данные формы (Табл.1-Табл.8) предоставляются в Департамент экономики на бумажном носителе, подписанные руководителем отраслевого органа с сопроводительным письмом и в электронном виде с использованием перекрестных ссылок и формул для заполнения между таблицами.</t>
  </si>
  <si>
    <t>Все затраты указываются по внебюджетной деятельности учреждения в целом и рассчитываются по учреждению, а не по услуге.</t>
  </si>
  <si>
    <t xml:space="preserve"> </t>
  </si>
  <si>
    <t>Приложение 1</t>
  </si>
  <si>
    <t>Формы и перечень документов для расчета тарифов на платные услуги и работы, 
предоставляемые и выполняемые муниципальными учреждениями города Тобольска социальной сферы
(учреждения, подведомственные Департаменту по образованию, Департаменту по культуре и туризму, 
Департаменту физической культуры, спорта и молодежной политики)</t>
  </si>
  <si>
    <t>При отсутствии возможности произвести расчет тарифов на платные услуги/работы методом экономически обоснованных расходов, допускается расчет тарифов на основе анализа цен в соответствии с разделом III приложения к постановлению Администрации города Тобольска от 10.05.2023 №36-пк «Об утверждении Порядка разработки и установления тарифов на платные услуги и работы, предоставляемые и выполняемые муниципальными предприятиями и учреждениями города Тобольска». 
При этом заполнение Таблиц 2-8 не требуется и общая сводная Таблица 1 заполняется по графам 13 и 14, с приложением трех ценовых приложений по услуге/работе.</t>
  </si>
  <si>
    <t xml:space="preserve">Норма времени применяются в соответствии с законодательными документами (например, производственный календарь на текущий год, Приказ Министерства образования и науки РФ от 22.12.2014 №1601 «О продолжительности рабочего времени (нормах часов педагогической работы за ставку заработной платы) педагогических работников и о порядке определения учебной нагрузки педагогических работников, оговариваемой в трудовом договоре» и пр.). </t>
  </si>
  <si>
    <t>К данной форме предоставляются подтверждающие первичные документы по норме расхода материалов и стоимости материалов (отсылочные нормы на законодательные документы по норме расхода материалов в сфере оказания услуг/работ, локальные нормативные акты учреждения, оборотно-сальдовые ведомости по материалам, прайсы на стоимость и пр.)
При отсутствии норм расхода материалов, не предусмотренных типовыми нормами, устанавливаются технически и экономически обоснованные нормы, вводимые в действие приказом руководителя учреждения.</t>
  </si>
  <si>
    <t>к Приказу от 11.05.2023 № 05</t>
  </si>
  <si>
    <t>***</t>
  </si>
  <si>
    <t>К формам расчетов тарифов на платные услуги/работы прилагаются устав, коллективный договор,  положение об оказании платных услуг/работ, приказ об учетной политике.</t>
  </si>
  <si>
    <t>Прочие затраты, руб.</t>
  </si>
  <si>
    <t>Занятие хореографией</t>
  </si>
  <si>
    <t>МАДОУ "Детский сад №49" г.Тобольска</t>
  </si>
  <si>
    <t>Школа раннего развития</t>
  </si>
  <si>
    <t>Подготовка к школе</t>
  </si>
  <si>
    <t>Обучение иностранному языку (английский язык)</t>
  </si>
  <si>
    <t>Музыкальный руководитель</t>
  </si>
  <si>
    <t>Воспитатель</t>
  </si>
  <si>
    <t>Педагог дополнительного образования</t>
  </si>
  <si>
    <t>цветная бумага</t>
  </si>
  <si>
    <t>цветной картон</t>
  </si>
  <si>
    <t>альбом</t>
  </si>
  <si>
    <t>цветные карандаши</t>
  </si>
  <si>
    <t>непроливайка</t>
  </si>
  <si>
    <t>салфетки</t>
  </si>
  <si>
    <t>кисточки</t>
  </si>
  <si>
    <t>краски</t>
  </si>
  <si>
    <t>ножницы</t>
  </si>
  <si>
    <t xml:space="preserve">тетрадь </t>
  </si>
  <si>
    <t>дидактичекий материал</t>
  </si>
  <si>
    <t>МАДОУ "Детский сад № 49" г.Тобольска</t>
  </si>
  <si>
    <t>Микш.пульт Yamaha MG10XU                            15,6" Ноутбук Acer Nitro5(AN515-54-584Q)(FHD/IPS) i5 9300H/16384/SSD512/NV GTX</t>
  </si>
  <si>
    <t>15,6" Ноутбук Acer Nitro5(AN515-54-584Q)(FHD/IPS) i5 9300H/16384/SSD512/NV GTX</t>
  </si>
  <si>
    <t>Активная аккустическая система Bihringer B112DMP3</t>
  </si>
  <si>
    <t>Проектор INFOCUS(Full3D) DPL.4200ANSI Lm. WXGA.14000;1.2xVGA HDMIv1.4S-video Com</t>
  </si>
  <si>
    <t>Доска магнитная</t>
  </si>
  <si>
    <t>флажки</t>
  </si>
  <si>
    <t>султанчики</t>
  </si>
  <si>
    <t>зонтики</t>
  </si>
  <si>
    <t>Оказание физкультурно-оздоровительных услуг (Плыви малыш)</t>
  </si>
  <si>
    <t>Инструктор по физической культуре</t>
  </si>
  <si>
    <t>Оказание физкультурно-оздоровительных услуг (плыви малыш)</t>
  </si>
  <si>
    <t>нарукавники</t>
  </si>
  <si>
    <t>жилет</t>
  </si>
  <si>
    <t>обруч</t>
  </si>
  <si>
    <t>мячи</t>
  </si>
  <si>
    <t>Оборудование для бассейна</t>
  </si>
  <si>
    <t>Развитие творческих способностей</t>
  </si>
  <si>
    <t>Занятие вокалом</t>
  </si>
  <si>
    <t>Обучение игре шахматам</t>
  </si>
  <si>
    <t>шахматы</t>
  </si>
  <si>
    <t xml:space="preserve">доски </t>
  </si>
  <si>
    <t>Активная аккустическая система Bihringer B112DMP4</t>
  </si>
  <si>
    <t>дидактический материал</t>
  </si>
  <si>
    <t>Ранее музыкальное развитие</t>
  </si>
  <si>
    <t>В гостях у сказки</t>
  </si>
  <si>
    <t>наглядные пособия</t>
  </si>
  <si>
    <t>Расчет тарифов на платные образовательные услуги МАДОУ "Детский сад № 49" г. Тобольска на 2025/2026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</si>
</sst>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₽"/>
    <numFmt numFmtId="165" formatCode="#,##0\ _₽"/>
    <numFmt numFmtId="166" formatCode="0.0%"/>
    <numFmt numFmtId="167" formatCode="_(* #,##0.00_);_(* \(#,##0.00\);_(* &quot;-&quot;??_);_(@_)"/>
    <numFmt numFmtId="168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390">
    <xf numFmtId="0" fontId="0" fillId="0" borderId="0" xfId="0"/>
    <xf numFmtId="9" fontId="3" fillId="0" borderId="4" xfId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0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165" fontId="6" fillId="0" borderId="23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6" fillId="0" borderId="29" xfId="0" applyNumberFormat="1" applyFont="1" applyFill="1" applyBorder="1" applyAlignment="1">
      <alignment horizontal="center" vertical="center" wrapText="1"/>
    </xf>
    <xf numFmtId="165" fontId="6" fillId="0" borderId="29" xfId="0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5" fontId="8" fillId="0" borderId="3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7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165" fontId="8" fillId="0" borderId="24" xfId="0" applyNumberFormat="1" applyFont="1" applyFill="1" applyBorder="1" applyAlignment="1">
      <alignment horizontal="center" vertical="center" wrapText="1"/>
    </xf>
    <xf numFmtId="165" fontId="8" fillId="0" borderId="29" xfId="0" applyNumberFormat="1" applyFont="1" applyFill="1" applyBorder="1" applyAlignment="1">
      <alignment horizontal="center" vertical="center" wrapText="1"/>
    </xf>
    <xf numFmtId="165" fontId="8" fillId="2" borderId="38" xfId="0" applyNumberFormat="1" applyFont="1" applyFill="1" applyBorder="1" applyAlignment="1">
      <alignment horizontal="center" vertical="center" wrapText="1"/>
    </xf>
    <xf numFmtId="165" fontId="8" fillId="0" borderId="25" xfId="0" applyNumberFormat="1" applyFont="1" applyFill="1" applyBorder="1" applyAlignment="1">
      <alignment horizontal="center" vertical="center" wrapText="1"/>
    </xf>
    <xf numFmtId="165" fontId="8" fillId="0" borderId="23" xfId="0" applyNumberFormat="1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29" xfId="0" applyNumberFormat="1" applyFont="1" applyBorder="1" applyAlignment="1">
      <alignment horizontal="center" vertical="center" wrapText="1"/>
    </xf>
    <xf numFmtId="165" fontId="8" fillId="2" borderId="46" xfId="0" applyNumberFormat="1" applyFont="1" applyFill="1" applyBorder="1" applyAlignment="1">
      <alignment horizontal="center" vertical="center" wrapText="1"/>
    </xf>
    <xf numFmtId="164" fontId="3" fillId="2" borderId="40" xfId="0" applyNumberFormat="1" applyFont="1" applyFill="1" applyBorder="1" applyAlignment="1">
      <alignment horizontal="center" vertical="center" wrapText="1"/>
    </xf>
    <xf numFmtId="164" fontId="3" fillId="2" borderId="44" xfId="0" applyNumberFormat="1" applyFont="1" applyFill="1" applyBorder="1" applyAlignment="1">
      <alignment horizontal="center" vertical="center" wrapText="1"/>
    </xf>
    <xf numFmtId="164" fontId="3" fillId="2" borderId="4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8" fillId="2" borderId="23" xfId="0" applyNumberFormat="1" applyFont="1" applyFill="1" applyBorder="1" applyAlignment="1">
      <alignment horizontal="center" vertical="center" wrapText="1"/>
    </xf>
    <xf numFmtId="165" fontId="8" fillId="0" borderId="2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8" fillId="2" borderId="25" xfId="0" applyNumberFormat="1" applyFont="1" applyFill="1" applyBorder="1" applyAlignment="1">
      <alignment horizontal="center" vertical="center"/>
    </xf>
    <xf numFmtId="165" fontId="8" fillId="0" borderId="36" xfId="0" applyNumberFormat="1" applyFont="1" applyFill="1" applyBorder="1" applyAlignment="1">
      <alignment horizontal="center" vertical="center" wrapText="1"/>
    </xf>
    <xf numFmtId="165" fontId="8" fillId="0" borderId="27" xfId="0" applyNumberFormat="1" applyFont="1" applyFill="1" applyBorder="1" applyAlignment="1">
      <alignment horizontal="center" vertical="center" wrapText="1"/>
    </xf>
    <xf numFmtId="165" fontId="8" fillId="2" borderId="36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5" fontId="6" fillId="2" borderId="3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5" fontId="2" fillId="2" borderId="35" xfId="0" applyNumberFormat="1" applyFont="1" applyFill="1" applyBorder="1" applyAlignment="1">
      <alignment horizontal="center" vertical="center" wrapText="1"/>
    </xf>
    <xf numFmtId="165" fontId="2" fillId="2" borderId="5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165" fontId="8" fillId="2" borderId="42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8" fillId="0" borderId="2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top"/>
    </xf>
    <xf numFmtId="0" fontId="4" fillId="3" borderId="8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left" vertical="center" wrapText="1"/>
    </xf>
    <xf numFmtId="164" fontId="4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9" fontId="3" fillId="0" borderId="27" xfId="1" applyFont="1" applyFill="1" applyBorder="1" applyAlignment="1">
      <alignment horizontal="center" vertical="center" wrapText="1"/>
    </xf>
    <xf numFmtId="164" fontId="3" fillId="0" borderId="36" xfId="0" applyNumberFormat="1" applyFont="1" applyFill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horizontal="center" vertical="center" wrapText="1"/>
    </xf>
    <xf numFmtId="165" fontId="3" fillId="2" borderId="36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9" fontId="3" fillId="3" borderId="24" xfId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9" fontId="4" fillId="3" borderId="24" xfId="1" applyFont="1" applyFill="1" applyBorder="1" applyAlignment="1">
      <alignment horizontal="center" vertical="center" wrapText="1"/>
    </xf>
    <xf numFmtId="166" fontId="3" fillId="3" borderId="24" xfId="1" applyNumberFormat="1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/>
    </xf>
    <xf numFmtId="166" fontId="3" fillId="3" borderId="24" xfId="1" applyNumberFormat="1" applyFont="1" applyFill="1" applyBorder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9" fontId="3" fillId="3" borderId="2" xfId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9" fontId="4" fillId="3" borderId="2" xfId="1" applyFont="1" applyFill="1" applyBorder="1" applyAlignment="1">
      <alignment horizontal="center" vertical="center" wrapText="1"/>
    </xf>
    <xf numFmtId="166" fontId="3" fillId="3" borderId="2" xfId="1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164" fontId="5" fillId="2" borderId="48" xfId="0" applyNumberFormat="1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64" fontId="3" fillId="3" borderId="4" xfId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30" xfId="0" applyNumberFormat="1" applyFont="1" applyFill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53" xfId="0" applyNumberFormat="1" applyFont="1" applyFill="1" applyBorder="1" applyAlignment="1">
      <alignment horizontal="center" vertical="center" wrapText="1"/>
    </xf>
    <xf numFmtId="164" fontId="3" fillId="3" borderId="22" xfId="1" applyNumberFormat="1" applyFont="1" applyFill="1" applyBorder="1" applyAlignment="1">
      <alignment horizontal="center" vertical="center" wrapText="1"/>
    </xf>
    <xf numFmtId="164" fontId="2" fillId="2" borderId="42" xfId="1" applyNumberFormat="1" applyFont="1" applyFill="1" applyBorder="1" applyAlignment="1">
      <alignment horizontal="center" vertical="center" wrapText="1"/>
    </xf>
    <xf numFmtId="164" fontId="2" fillId="2" borderId="55" xfId="1" applyNumberFormat="1" applyFont="1" applyFill="1" applyBorder="1" applyAlignment="1">
      <alignment horizontal="center" vertical="center" wrapText="1"/>
    </xf>
    <xf numFmtId="164" fontId="2" fillId="2" borderId="46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9" fontId="3" fillId="3" borderId="8" xfId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9" fontId="4" fillId="3" borderId="8" xfId="1" applyFont="1" applyFill="1" applyBorder="1" applyAlignment="1">
      <alignment horizontal="center" vertical="center" wrapText="1"/>
    </xf>
    <xf numFmtId="166" fontId="3" fillId="3" borderId="8" xfId="1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6" fontId="3" fillId="3" borderId="8" xfId="1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center" vertical="center" wrapText="1"/>
    </xf>
    <xf numFmtId="165" fontId="2" fillId="2" borderId="40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5" fontId="3" fillId="3" borderId="8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165" fontId="3" fillId="3" borderId="4" xfId="1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top" wrapText="1"/>
    </xf>
    <xf numFmtId="0" fontId="3" fillId="3" borderId="24" xfId="0" applyFont="1" applyFill="1" applyBorder="1" applyAlignment="1">
      <alignment horizontal="center" vertical="center" wrapText="1"/>
    </xf>
    <xf numFmtId="164" fontId="3" fillId="3" borderId="24" xfId="1" applyNumberFormat="1" applyFont="1" applyFill="1" applyBorder="1" applyAlignment="1">
      <alignment horizontal="center" vertical="center" wrapText="1"/>
    </xf>
    <xf numFmtId="165" fontId="3" fillId="3" borderId="24" xfId="1" applyNumberFormat="1" applyFont="1" applyFill="1" applyBorder="1" applyAlignment="1">
      <alignment horizontal="center" vertical="center" wrapText="1"/>
    </xf>
    <xf numFmtId="164" fontId="3" fillId="3" borderId="29" xfId="0" applyNumberFormat="1" applyFont="1" applyFill="1" applyBorder="1" applyAlignment="1">
      <alignment horizontal="center" vertical="center" wrapText="1"/>
    </xf>
    <xf numFmtId="164" fontId="2" fillId="3" borderId="3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top" wrapText="1"/>
    </xf>
    <xf numFmtId="2" fontId="4" fillId="0" borderId="11" xfId="0" applyNumberFormat="1" applyFont="1" applyBorder="1" applyAlignment="1">
      <alignment horizontal="left" vertical="top" wrapText="1"/>
    </xf>
    <xf numFmtId="2" fontId="4" fillId="0" borderId="4" xfId="0" applyNumberFormat="1" applyFont="1" applyBorder="1" applyAlignment="1">
      <alignment horizontal="left" vertical="top" wrapText="1"/>
    </xf>
    <xf numFmtId="165" fontId="2" fillId="2" borderId="40" xfId="0" applyNumberFormat="1" applyFont="1" applyFill="1" applyBorder="1" applyAlignment="1">
      <alignment horizontal="center" vertical="center" wrapText="1"/>
    </xf>
    <xf numFmtId="165" fontId="2" fillId="2" borderId="55" xfId="0" applyNumberFormat="1" applyFont="1" applyFill="1" applyBorder="1" applyAlignment="1">
      <alignment horizontal="center" vertical="center" wrapText="1"/>
    </xf>
    <xf numFmtId="165" fontId="2" fillId="2" borderId="44" xfId="0" applyNumberFormat="1" applyFont="1" applyFill="1" applyBorder="1" applyAlignment="1">
      <alignment horizontal="center" vertical="center" wrapText="1"/>
    </xf>
    <xf numFmtId="165" fontId="3" fillId="2" borderId="40" xfId="0" applyNumberFormat="1" applyFont="1" applyFill="1" applyBorder="1" applyAlignment="1">
      <alignment horizontal="center" vertical="center" wrapText="1"/>
    </xf>
    <xf numFmtId="165" fontId="3" fillId="2" borderId="55" xfId="0" applyNumberFormat="1" applyFont="1" applyFill="1" applyBorder="1" applyAlignment="1">
      <alignment horizontal="center" vertical="center" wrapText="1"/>
    </xf>
    <xf numFmtId="165" fontId="3" fillId="2" borderId="44" xfId="0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2" fillId="2" borderId="42" xfId="1" applyNumberFormat="1" applyFont="1" applyFill="1" applyBorder="1" applyAlignment="1">
      <alignment horizontal="center" vertical="center" wrapText="1"/>
    </xf>
    <xf numFmtId="164" fontId="2" fillId="2" borderId="55" xfId="1" applyNumberFormat="1" applyFont="1" applyFill="1" applyBorder="1" applyAlignment="1">
      <alignment horizontal="center" vertical="center" wrapText="1"/>
    </xf>
    <xf numFmtId="164" fontId="2" fillId="2" borderId="46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2" fontId="4" fillId="3" borderId="2" xfId="0" applyNumberFormat="1" applyFont="1" applyFill="1" applyBorder="1" applyAlignment="1">
      <alignment horizontal="left" vertical="top" wrapText="1"/>
    </xf>
    <xf numFmtId="2" fontId="4" fillId="3" borderId="11" xfId="0" applyNumberFormat="1" applyFont="1" applyFill="1" applyBorder="1" applyAlignment="1">
      <alignment horizontal="left" vertical="top" wrapText="1"/>
    </xf>
    <xf numFmtId="2" fontId="4" fillId="3" borderId="5" xfId="0" applyNumberFormat="1" applyFont="1" applyFill="1" applyBorder="1" applyAlignment="1">
      <alignment horizontal="left" vertical="top" wrapText="1"/>
    </xf>
    <xf numFmtId="0" fontId="2" fillId="0" borderId="52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Fill="1" applyBorder="1" applyAlignment="1">
      <alignment horizontal="center" vertical="center" wrapText="1"/>
    </xf>
    <xf numFmtId="164" fontId="2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64" fontId="2" fillId="2" borderId="43" xfId="1" applyNumberFormat="1" applyFont="1" applyFill="1" applyBorder="1" applyAlignment="1">
      <alignment horizontal="center" vertical="center" wrapText="1"/>
    </xf>
    <xf numFmtId="164" fontId="2" fillId="2" borderId="41" xfId="1" applyNumberFormat="1" applyFont="1" applyFill="1" applyBorder="1" applyAlignment="1">
      <alignment horizontal="center" vertical="center" wrapText="1"/>
    </xf>
    <xf numFmtId="164" fontId="2" fillId="2" borderId="56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164" fontId="2" fillId="3" borderId="42" xfId="0" applyNumberFormat="1" applyFont="1" applyFill="1" applyBorder="1" applyAlignment="1">
      <alignment horizontal="center" vertical="center" wrapText="1"/>
    </xf>
    <xf numFmtId="164" fontId="2" fillId="3" borderId="46" xfId="0" applyNumberFormat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164" fontId="2" fillId="3" borderId="55" xfId="0" applyNumberFormat="1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4" fontId="3" fillId="2" borderId="42" xfId="1" applyNumberFormat="1" applyFont="1" applyFill="1" applyBorder="1" applyAlignment="1">
      <alignment horizontal="center" vertical="center" wrapText="1"/>
    </xf>
    <xf numFmtId="164" fontId="3" fillId="2" borderId="46" xfId="1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164" fontId="3" fillId="2" borderId="43" xfId="1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 xr:uid="{00000000-0005-0000-0000-000001000000}"/>
    <cellStyle name="Обычный 3 2" xfId="5" xr:uid="{00000000-0005-0000-0000-000002000000}"/>
    <cellStyle name="Процентный" xfId="1" builtinId="5"/>
    <cellStyle name="Процентный 2" xfId="4" xr:uid="{00000000-0005-0000-0000-000004000000}"/>
    <cellStyle name="Финансовый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view="pageBreakPreview" topLeftCell="A24" zoomScale="85" zoomScaleNormal="85" zoomScaleSheetLayoutView="85" workbookViewId="0">
      <selection activeCell="A4" sqref="A4:N4"/>
    </sheetView>
  </sheetViews>
  <sheetFormatPr defaultRowHeight="15.75" x14ac:dyDescent="0.25"/>
  <cols>
    <col min="1" max="1" width="5.5703125" style="9" customWidth="1"/>
    <col min="2" max="2" width="30.7109375" style="9" customWidth="1"/>
    <col min="3" max="3" width="19" style="9" customWidth="1"/>
    <col min="4" max="4" width="23.7109375" style="9" customWidth="1"/>
    <col min="5" max="6" width="18.5703125" style="9" customWidth="1"/>
    <col min="7" max="8" width="17" style="9" customWidth="1"/>
    <col min="9" max="9" width="25" style="9" customWidth="1"/>
    <col min="10" max="10" width="6.85546875" style="9" customWidth="1"/>
    <col min="11" max="11" width="19.7109375" style="9" customWidth="1"/>
    <col min="12" max="12" width="22.42578125" style="9" customWidth="1"/>
    <col min="13" max="13" width="17.28515625" style="9" customWidth="1"/>
    <col min="14" max="14" width="20.140625" style="9" customWidth="1"/>
    <col min="15" max="16384" width="9.140625" style="9"/>
  </cols>
  <sheetData>
    <row r="1" spans="1:14" hidden="1" x14ac:dyDescent="0.25">
      <c r="N1" s="37" t="s">
        <v>153</v>
      </c>
    </row>
    <row r="2" spans="1:14" hidden="1" x14ac:dyDescent="0.25">
      <c r="N2" s="37" t="s">
        <v>158</v>
      </c>
    </row>
    <row r="3" spans="1:14" ht="15.75" customHeight="1" x14ac:dyDescent="0.25"/>
    <row r="4" spans="1:14" ht="0.75" customHeight="1" x14ac:dyDescent="0.25">
      <c r="A4" s="246" t="s">
        <v>154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</row>
    <row r="6" spans="1:14" x14ac:dyDescent="0.25">
      <c r="N6" s="37" t="s">
        <v>86</v>
      </c>
    </row>
    <row r="7" spans="1:14" s="19" customFormat="1" x14ac:dyDescent="0.25">
      <c r="A7" s="248" t="s">
        <v>208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4" ht="16.5" thickBot="1" x14ac:dyDescent="0.3">
      <c r="B8" s="249"/>
      <c r="C8" s="249"/>
      <c r="D8" s="249"/>
      <c r="E8" s="249"/>
      <c r="F8" s="249"/>
      <c r="G8" s="249"/>
      <c r="H8" s="249"/>
    </row>
    <row r="9" spans="1:14" s="14" customFormat="1" ht="69" customHeight="1" x14ac:dyDescent="0.25">
      <c r="A9" s="250" t="s">
        <v>18</v>
      </c>
      <c r="B9" s="257" t="s">
        <v>106</v>
      </c>
      <c r="C9" s="257" t="s">
        <v>2</v>
      </c>
      <c r="D9" s="257" t="s">
        <v>55</v>
      </c>
      <c r="E9" s="257" t="s">
        <v>54</v>
      </c>
      <c r="F9" s="257" t="s">
        <v>56</v>
      </c>
      <c r="G9" s="257" t="s">
        <v>57</v>
      </c>
      <c r="H9" s="255" t="s">
        <v>161</v>
      </c>
      <c r="I9" s="255" t="s">
        <v>58</v>
      </c>
      <c r="J9" s="259" t="s">
        <v>139</v>
      </c>
      <c r="K9" s="260"/>
      <c r="L9" s="253" t="s">
        <v>61</v>
      </c>
      <c r="M9" s="261" t="s">
        <v>114</v>
      </c>
      <c r="N9" s="262"/>
    </row>
    <row r="10" spans="1:14" s="14" customFormat="1" ht="32.25" customHeight="1" thickBot="1" x14ac:dyDescent="0.3">
      <c r="A10" s="251"/>
      <c r="B10" s="258"/>
      <c r="C10" s="258"/>
      <c r="D10" s="258"/>
      <c r="E10" s="258"/>
      <c r="F10" s="258"/>
      <c r="G10" s="258"/>
      <c r="H10" s="256"/>
      <c r="I10" s="256"/>
      <c r="J10" s="34" t="s">
        <v>4</v>
      </c>
      <c r="K10" s="32" t="s">
        <v>5</v>
      </c>
      <c r="L10" s="254"/>
      <c r="M10" s="98" t="s">
        <v>62</v>
      </c>
      <c r="N10" s="99" t="s">
        <v>63</v>
      </c>
    </row>
    <row r="11" spans="1:14" s="64" customFormat="1" ht="26.25" thickBot="1" x14ac:dyDescent="0.3">
      <c r="A11" s="62">
        <v>1</v>
      </c>
      <c r="B11" s="63">
        <v>2</v>
      </c>
      <c r="C11" s="63">
        <v>3</v>
      </c>
      <c r="D11" s="57" t="s">
        <v>87</v>
      </c>
      <c r="E11" s="57" t="s">
        <v>140</v>
      </c>
      <c r="F11" s="57" t="s">
        <v>88</v>
      </c>
      <c r="G11" s="57" t="s">
        <v>89</v>
      </c>
      <c r="H11" s="58" t="s">
        <v>90</v>
      </c>
      <c r="I11" s="81" t="s">
        <v>98</v>
      </c>
      <c r="J11" s="81">
        <v>10</v>
      </c>
      <c r="K11" s="58" t="s">
        <v>73</v>
      </c>
      <c r="L11" s="80" t="s">
        <v>74</v>
      </c>
      <c r="M11" s="75">
        <v>13</v>
      </c>
      <c r="N11" s="82" t="s">
        <v>141</v>
      </c>
    </row>
    <row r="12" spans="1:14" ht="65.25" customHeight="1" thickBot="1" x14ac:dyDescent="0.3">
      <c r="A12" s="131">
        <v>1</v>
      </c>
      <c r="B12" s="132" t="s">
        <v>162</v>
      </c>
      <c r="C12" s="133" t="s">
        <v>181</v>
      </c>
      <c r="D12" s="134">
        <f>'Табл.3 - ФОТ'!Z9</f>
        <v>294.11445387085178</v>
      </c>
      <c r="E12" s="134">
        <f>'Табл.4-материалы'!K7</f>
        <v>690.625</v>
      </c>
      <c r="F12" s="134">
        <f>'Табл.5-амортизация'!K6</f>
        <v>902.2968253968254</v>
      </c>
      <c r="G12" s="134">
        <v>0</v>
      </c>
      <c r="H12" s="135">
        <f>'Табл.7-прочие затраты'!I7</f>
        <v>258.28000000000003</v>
      </c>
      <c r="I12" s="136">
        <f>(D12*'Табл.8-накладные расходы'!M7)</f>
        <v>49.715616804672614</v>
      </c>
      <c r="J12" s="137">
        <v>0.2</v>
      </c>
      <c r="K12" s="135">
        <f>SUM(D12:I12)*J12</f>
        <v>439.00637921446997</v>
      </c>
      <c r="L12" s="138">
        <f>SUM(D12:I12)+K12</f>
        <v>2634.03827528682</v>
      </c>
      <c r="M12" s="139" t="s">
        <v>64</v>
      </c>
      <c r="N12" s="140">
        <f>L12/'Табл.2-программа по услуге'!I7</f>
        <v>131.70191376434099</v>
      </c>
    </row>
    <row r="13" spans="1:14" ht="60.75" customHeight="1" thickBot="1" x14ac:dyDescent="0.3">
      <c r="A13" s="131">
        <v>2</v>
      </c>
      <c r="B13" s="143" t="s">
        <v>164</v>
      </c>
      <c r="C13" s="167" t="s">
        <v>181</v>
      </c>
      <c r="D13" s="134">
        <f>'Табл.3 - ФОТ'!Z10</f>
        <v>252.68900961233874</v>
      </c>
      <c r="E13" s="134">
        <f>'Табл.4-материалы'!J10+'Табл.4-материалы'!J11+'Табл.4-материалы'!J12+'Табл.4-материалы'!J13+'Табл.4-материалы'!J14+'Табл.4-материалы'!J15+'Табл.4-материалы'!J16+'Табл.4-материалы'!J17+'Табл.4-материалы'!J18+'Табл.4-материалы'!J19+'Табл.4-материалы'!J20</f>
        <v>886.125</v>
      </c>
      <c r="F13" s="134">
        <f>'Табл.5-амортизация'!K10</f>
        <v>540.18750000000011</v>
      </c>
      <c r="G13" s="134">
        <v>0</v>
      </c>
      <c r="H13" s="135">
        <f>'Табл.7-прочие затраты'!I9</f>
        <v>258.28000000000003</v>
      </c>
      <c r="I13" s="136">
        <f>(D13*'Табл.8-накладные расходы'!M7)</f>
        <v>42.713269638069576</v>
      </c>
      <c r="J13" s="137">
        <v>0.16</v>
      </c>
      <c r="K13" s="135">
        <f t="shared" ref="K13:K16" si="0">SUM(D13:I13)*J13</f>
        <v>316.79916468006536</v>
      </c>
      <c r="L13" s="138">
        <f t="shared" ref="L13:L15" si="1">SUM(D13:I13)+K13</f>
        <v>2296.7939439304737</v>
      </c>
      <c r="M13" s="139" t="s">
        <v>64</v>
      </c>
      <c r="N13" s="140">
        <f>L13/'Табл.2-программа по услуге'!I8</f>
        <v>114.83969719652369</v>
      </c>
    </row>
    <row r="14" spans="1:14" ht="64.5" customHeight="1" thickBot="1" x14ac:dyDescent="0.3">
      <c r="A14" s="131">
        <v>3</v>
      </c>
      <c r="B14" s="143" t="s">
        <v>165</v>
      </c>
      <c r="C14" s="167" t="s">
        <v>181</v>
      </c>
      <c r="D14" s="134">
        <f>'Табл.3 - ФОТ'!Z11</f>
        <v>252.68900961233874</v>
      </c>
      <c r="E14" s="134">
        <f>'Табл.4-материалы'!J21+'Табл.4-материалы'!J22+'Табл.4-материалы'!J23+'Табл.4-материалы'!J24+'Табл.4-материалы'!J25+'Табл.4-материалы'!J26+'Табл.4-материалы'!J27+'Табл.4-материалы'!J28+'Табл.4-материалы'!J29+'Табл.4-материалы'!J30+'Табл.4-материалы'!J31</f>
        <v>928</v>
      </c>
      <c r="F14" s="134">
        <f>'Табл.5-амортизация'!K12</f>
        <v>540.18750000000011</v>
      </c>
      <c r="G14" s="134">
        <v>0</v>
      </c>
      <c r="H14" s="135">
        <f>'Табл.7-прочие затраты'!I11</f>
        <v>258.28000000000003</v>
      </c>
      <c r="I14" s="136">
        <f>(D14*'Табл.8-накладные расходы'!M7)</f>
        <v>42.713269638069576</v>
      </c>
      <c r="J14" s="137">
        <v>0.14000000000000001</v>
      </c>
      <c r="K14" s="135">
        <f t="shared" si="0"/>
        <v>283.06176909505717</v>
      </c>
      <c r="L14" s="138">
        <f t="shared" si="1"/>
        <v>2304.9315483454657</v>
      </c>
      <c r="M14" s="139" t="s">
        <v>64</v>
      </c>
      <c r="N14" s="140">
        <f>L14/'Табл.2-программа по услуге'!I9</f>
        <v>115.24657741727329</v>
      </c>
    </row>
    <row r="15" spans="1:14" ht="67.5" customHeight="1" thickBot="1" x14ac:dyDescent="0.3">
      <c r="A15" s="131">
        <v>4</v>
      </c>
      <c r="B15" s="143" t="s">
        <v>166</v>
      </c>
      <c r="C15" s="167" t="s">
        <v>181</v>
      </c>
      <c r="D15" s="134">
        <f>'Табл.3 - ФОТ'!Z12</f>
        <v>218.33083701318407</v>
      </c>
      <c r="E15" s="134">
        <f>'Табл.4-материалы'!K35</f>
        <v>3010.625</v>
      </c>
      <c r="F15" s="134">
        <f>'Табл.5-амортизация'!K14</f>
        <v>22.739583333333336</v>
      </c>
      <c r="G15" s="134">
        <v>0</v>
      </c>
      <c r="H15" s="135">
        <f>'Табл.7-прочие затраты'!I14</f>
        <v>0</v>
      </c>
      <c r="I15" s="136">
        <f>(D15*'Табл.8-накладные расходы'!M7)</f>
        <v>36.905538258099945</v>
      </c>
      <c r="J15" s="137">
        <v>0.17</v>
      </c>
      <c r="K15" s="135">
        <f t="shared" si="0"/>
        <v>559.06216296278501</v>
      </c>
      <c r="L15" s="138">
        <f t="shared" si="1"/>
        <v>3847.6631215674024</v>
      </c>
      <c r="M15" s="139" t="s">
        <v>64</v>
      </c>
      <c r="N15" s="140">
        <f>L15/'Табл.2-программа по услуге'!I10</f>
        <v>192.38315607837012</v>
      </c>
    </row>
    <row r="16" spans="1:14" ht="62.25" customHeight="1" thickBot="1" x14ac:dyDescent="0.3">
      <c r="A16" s="131">
        <v>5</v>
      </c>
      <c r="B16" s="143" t="s">
        <v>190</v>
      </c>
      <c r="C16" s="167" t="s">
        <v>181</v>
      </c>
      <c r="D16" s="134">
        <f>'Табл.3 - ФОТ'!Z13</f>
        <v>205.60791590156853</v>
      </c>
      <c r="E16" s="134">
        <f>'Табл.4-материалы'!J36+'Табл.4-материалы'!J37+'Табл.4-материалы'!J38+'Табл.4-материалы'!J39</f>
        <v>1406.25</v>
      </c>
      <c r="F16" s="134">
        <f>'Табл.5-амортизация'!K16</f>
        <v>540.18750000000011</v>
      </c>
      <c r="G16" s="134">
        <v>0</v>
      </c>
      <c r="H16" s="135">
        <f>'Табл.7-прочие затраты'!I14</f>
        <v>0</v>
      </c>
      <c r="I16" s="136">
        <f>(D16*'Табл.8-накладные расходы'!M7)</f>
        <v>34.754920149073222</v>
      </c>
      <c r="J16" s="137">
        <v>0.18</v>
      </c>
      <c r="K16" s="135">
        <f t="shared" si="0"/>
        <v>393.62406048911549</v>
      </c>
      <c r="L16" s="138">
        <f t="shared" ref="L16" si="2">SUM(D16:I16)+K16</f>
        <v>2580.4243965397573</v>
      </c>
      <c r="M16" s="139" t="s">
        <v>65</v>
      </c>
      <c r="N16" s="140">
        <f>L16/'Табл.2-программа по услуге'!I11</f>
        <v>172.02829310265048</v>
      </c>
    </row>
    <row r="17" spans="1:14" ht="62.25" customHeight="1" thickBot="1" x14ac:dyDescent="0.3">
      <c r="A17" s="131">
        <v>6</v>
      </c>
      <c r="B17" s="143" t="s">
        <v>198</v>
      </c>
      <c r="C17" s="167" t="s">
        <v>181</v>
      </c>
      <c r="D17" s="134">
        <f>'Табл.3 - ФОТ'!Z14</f>
        <v>252.68900961233874</v>
      </c>
      <c r="E17" s="134">
        <f>'Табл.4-материалы'!J14+'Табл.4-материалы'!J15+'Табл.4-материалы'!J16+'Табл.4-материалы'!J17+'Табл.4-материалы'!J18+'Табл.4-материалы'!J19+'Табл.4-материалы'!J20+'Табл.4-материалы'!J21+'Табл.4-материалы'!J22+'Табл.4-материалы'!J23+'Табл.4-материалы'!J24</f>
        <v>931.125</v>
      </c>
      <c r="F17" s="134">
        <f>'Табл.5-амортизация'!K16</f>
        <v>540.18750000000011</v>
      </c>
      <c r="G17" s="134">
        <v>0</v>
      </c>
      <c r="H17" s="135">
        <f>'Табл.7-прочие затраты'!I13</f>
        <v>258.28000000000003</v>
      </c>
      <c r="I17" s="136">
        <f>(D17*'Табл.8-накладные расходы'!M7)</f>
        <v>42.713269638069576</v>
      </c>
      <c r="J17" s="137">
        <v>0.14000000000000001</v>
      </c>
      <c r="K17" s="135">
        <f t="shared" ref="K17" si="3">SUM(D17:I17)*J17</f>
        <v>283.49926909505717</v>
      </c>
      <c r="L17" s="138">
        <f t="shared" ref="L17" si="4">SUM(D17:I17)+K17</f>
        <v>2308.4940483454657</v>
      </c>
      <c r="M17" s="139" t="s">
        <v>64</v>
      </c>
      <c r="N17" s="140">
        <f>L17/'Табл.2-программа по услуге'!I12</f>
        <v>115.42470241727328</v>
      </c>
    </row>
    <row r="18" spans="1:14" ht="62.25" customHeight="1" thickBot="1" x14ac:dyDescent="0.3">
      <c r="A18" s="131">
        <v>7</v>
      </c>
      <c r="B18" s="143" t="s">
        <v>205</v>
      </c>
      <c r="C18" s="167" t="s">
        <v>181</v>
      </c>
      <c r="D18" s="134">
        <f>'Табл.3 - ФОТ'!Z15</f>
        <v>369.38842941290284</v>
      </c>
      <c r="E18" s="134">
        <f>'Табл.4-материалы'!J51+'Табл.4-материалы'!J52+'Табл.4-материалы'!J53</f>
        <v>665</v>
      </c>
      <c r="F18" s="134">
        <f>'Табл.5-амортизация'!K18</f>
        <v>1127.8710317460318</v>
      </c>
      <c r="G18" s="134">
        <v>1</v>
      </c>
      <c r="H18" s="135">
        <v>258.27999999999997</v>
      </c>
      <c r="I18" s="136">
        <f>(D18*'Табл.8-накладные расходы'!M7)</f>
        <v>62.439548165952061</v>
      </c>
      <c r="J18" s="137">
        <v>0.06</v>
      </c>
      <c r="K18" s="135">
        <f t="shared" ref="K18" si="5">SUM(D18:I18)*J18</f>
        <v>149.03874055949319</v>
      </c>
      <c r="L18" s="138">
        <f t="shared" ref="L18" si="6">SUM(D18:I18)+K18</f>
        <v>2633.01774988438</v>
      </c>
      <c r="M18" s="139" t="s">
        <v>64</v>
      </c>
      <c r="N18" s="140">
        <f>L18/'Табл.2-программа по услуге'!I13</f>
        <v>131.65088749421901</v>
      </c>
    </row>
    <row r="19" spans="1:14" ht="62.25" customHeight="1" thickBot="1" x14ac:dyDescent="0.3">
      <c r="A19" s="131">
        <v>8</v>
      </c>
      <c r="B19" s="143" t="s">
        <v>199</v>
      </c>
      <c r="C19" s="167" t="s">
        <v>181</v>
      </c>
      <c r="D19" s="134">
        <f>'Табл.3 - ФОТ'!Z16</f>
        <v>369.38842941290284</v>
      </c>
      <c r="E19" s="134">
        <f>'Табл.4-материалы'!J54</f>
        <v>468.75</v>
      </c>
      <c r="F19" s="134">
        <f>'Табл.5-амортизация'!K22</f>
        <v>1127.8710317460318</v>
      </c>
      <c r="G19" s="134">
        <v>2</v>
      </c>
      <c r="H19" s="135">
        <v>258.27999999999997</v>
      </c>
      <c r="I19" s="136">
        <f>(D19*'Табл.8-накладные расходы'!M7)</f>
        <v>62.439548165952061</v>
      </c>
      <c r="J19" s="137">
        <v>0.15</v>
      </c>
      <c r="K19" s="135">
        <f t="shared" ref="K19:K20" si="7">SUM(D19:I19)*J19</f>
        <v>343.30935139873299</v>
      </c>
      <c r="L19" s="138">
        <f t="shared" ref="L19:L20" si="8">SUM(D19:I19)+K19</f>
        <v>2632.0383607236195</v>
      </c>
      <c r="M19" s="139" t="s">
        <v>64</v>
      </c>
      <c r="N19" s="140">
        <f>L19/'Табл.2-программа по услуге'!I14</f>
        <v>131.60191803618096</v>
      </c>
    </row>
    <row r="20" spans="1:14" ht="62.25" customHeight="1" thickBot="1" x14ac:dyDescent="0.3">
      <c r="A20" s="131">
        <v>9</v>
      </c>
      <c r="B20" s="143" t="s">
        <v>200</v>
      </c>
      <c r="C20" s="167" t="s">
        <v>181</v>
      </c>
      <c r="D20" s="134">
        <f>'Табл.3 - ФОТ'!Z17</f>
        <v>252.68900961233874</v>
      </c>
      <c r="E20" s="134">
        <f>'Табл.4-материалы'!J55+'Табл.4-материалы'!J56+'Табл.4-материалы'!J57</f>
        <v>1109.375</v>
      </c>
      <c r="F20" s="134">
        <f>'Табл.5-амортизация'!K26</f>
        <v>540.18750000000011</v>
      </c>
      <c r="G20" s="134">
        <v>3</v>
      </c>
      <c r="H20" s="135">
        <v>258.27999999999997</v>
      </c>
      <c r="I20" s="136">
        <f>(D20*'Табл.8-накладные расходы'!M7)</f>
        <v>42.713269638069576</v>
      </c>
      <c r="J20" s="137">
        <v>0.2</v>
      </c>
      <c r="K20" s="135">
        <f t="shared" si="7"/>
        <v>441.24895585008164</v>
      </c>
      <c r="L20" s="138">
        <f t="shared" si="8"/>
        <v>2647.4937351004896</v>
      </c>
      <c r="M20" s="139" t="s">
        <v>64</v>
      </c>
      <c r="N20" s="140">
        <f>L20/'Табл.2-программа по услуге'!I15</f>
        <v>132.37468675502447</v>
      </c>
    </row>
    <row r="21" spans="1:14" ht="48" thickBot="1" x14ac:dyDescent="0.3">
      <c r="A21" s="131">
        <v>10</v>
      </c>
      <c r="B21" s="143" t="s">
        <v>206</v>
      </c>
      <c r="C21" s="167" t="s">
        <v>181</v>
      </c>
      <c r="D21" s="134">
        <f>'Табл.3 - ФОТ'!Z18</f>
        <v>252.46928003876278</v>
      </c>
      <c r="E21" s="134">
        <f>'Табл.4-материалы'!J58+'Табл.4-материалы'!J59</f>
        <v>1125</v>
      </c>
      <c r="F21" s="134">
        <f>'Табл.5-амортизация'!K28</f>
        <v>540.18750000000011</v>
      </c>
      <c r="G21" s="134">
        <v>3</v>
      </c>
      <c r="H21" s="135">
        <v>258.27999999999997</v>
      </c>
      <c r="I21" s="136">
        <f>(D21*'Табл.8-накладные расходы'!M7)</f>
        <v>42.676127664471252</v>
      </c>
      <c r="J21" s="137">
        <v>0.19</v>
      </c>
      <c r="K21" s="135">
        <f t="shared" ref="K21" si="9">SUM(D21:I21)*J21</f>
        <v>422.1064524636144</v>
      </c>
      <c r="L21" s="138">
        <f t="shared" ref="L21" si="10">SUM(D21:I21)+K21</f>
        <v>2643.7193601668482</v>
      </c>
      <c r="M21" s="139" t="s">
        <v>64</v>
      </c>
      <c r="N21" s="140">
        <f>L21/'Табл.2-программа по услуге'!I16</f>
        <v>132.1859680083424</v>
      </c>
    </row>
    <row r="22" spans="1:14" ht="17.25" customHeight="1" x14ac:dyDescent="0.25">
      <c r="A22" s="9" t="s">
        <v>83</v>
      </c>
      <c r="B22" s="252" t="s">
        <v>81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</row>
    <row r="23" spans="1:14" ht="35.25" customHeight="1" x14ac:dyDescent="0.25">
      <c r="A23" s="97" t="s">
        <v>28</v>
      </c>
      <c r="B23" s="252" t="s">
        <v>150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</row>
    <row r="24" spans="1:14" ht="48.75" customHeight="1" x14ac:dyDescent="0.25">
      <c r="A24" s="97" t="s">
        <v>33</v>
      </c>
      <c r="B24" s="252" t="s">
        <v>155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</row>
    <row r="25" spans="1:14" x14ac:dyDescent="0.25">
      <c r="A25" s="9" t="s">
        <v>159</v>
      </c>
      <c r="B25" s="263" t="s">
        <v>160</v>
      </c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</row>
  </sheetData>
  <mergeCells count="19">
    <mergeCell ref="C9:C10"/>
    <mergeCell ref="B25:M25"/>
    <mergeCell ref="B24:N24"/>
    <mergeCell ref="A4:N4"/>
    <mergeCell ref="A7:N7"/>
    <mergeCell ref="B8:H8"/>
    <mergeCell ref="A9:A10"/>
    <mergeCell ref="B23:N23"/>
    <mergeCell ref="B22:N22"/>
    <mergeCell ref="L9:L10"/>
    <mergeCell ref="I9:I10"/>
    <mergeCell ref="H9:H10"/>
    <mergeCell ref="B9:B10"/>
    <mergeCell ref="J9:K9"/>
    <mergeCell ref="M9:N9"/>
    <mergeCell ref="G9:G10"/>
    <mergeCell ref="F9:F10"/>
    <mergeCell ref="E9:E10"/>
    <mergeCell ref="D9:D10"/>
  </mergeCells>
  <pageMargins left="0.31496062992125984" right="0.31496062992125984" top="0.35433070866141736" bottom="0.35433070866141736" header="0.31496062992125984" footer="0.31496062992125984"/>
  <pageSetup paperSize="9" scale="5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"/>
  <sheetViews>
    <sheetView view="pageBreakPreview" topLeftCell="A4" zoomScale="85" zoomScaleNormal="85" zoomScaleSheetLayoutView="85" workbookViewId="0">
      <selection activeCell="B17" sqref="B17:I17"/>
    </sheetView>
  </sheetViews>
  <sheetFormatPr defaultRowHeight="15.75" x14ac:dyDescent="0.25"/>
  <cols>
    <col min="1" max="1" width="5.5703125" style="9" customWidth="1"/>
    <col min="2" max="2" width="32.85546875" style="9" customWidth="1"/>
    <col min="3" max="3" width="19" style="9" customWidth="1"/>
    <col min="4" max="5" width="14.42578125" style="9" customWidth="1"/>
    <col min="6" max="6" width="13.7109375" style="9" customWidth="1"/>
    <col min="7" max="7" width="17.28515625" style="9" customWidth="1"/>
    <col min="8" max="8" width="13.7109375" style="9" customWidth="1"/>
    <col min="9" max="9" width="18.42578125" style="9" customWidth="1"/>
    <col min="10" max="16384" width="9.140625" style="9"/>
  </cols>
  <sheetData>
    <row r="1" spans="1:9" x14ac:dyDescent="0.25">
      <c r="I1" s="37" t="s">
        <v>97</v>
      </c>
    </row>
    <row r="2" spans="1:9" s="19" customFormat="1" x14ac:dyDescent="0.25">
      <c r="A2" s="248" t="s">
        <v>115</v>
      </c>
      <c r="B2" s="248"/>
      <c r="C2" s="248"/>
      <c r="D2" s="248"/>
      <c r="E2" s="248"/>
      <c r="F2" s="248"/>
      <c r="G2" s="248"/>
      <c r="H2" s="248"/>
      <c r="I2" s="248"/>
    </row>
    <row r="3" spans="1:9" ht="16.5" thickBot="1" x14ac:dyDescent="0.3">
      <c r="B3" s="249"/>
      <c r="C3" s="249"/>
      <c r="D3" s="249"/>
      <c r="E3" s="249"/>
      <c r="F3" s="249"/>
      <c r="G3" s="249"/>
      <c r="H3" s="249"/>
      <c r="I3" s="249"/>
    </row>
    <row r="4" spans="1:9" s="14" customFormat="1" ht="40.5" customHeight="1" x14ac:dyDescent="0.25">
      <c r="A4" s="250" t="s">
        <v>18</v>
      </c>
      <c r="B4" s="266" t="s">
        <v>100</v>
      </c>
      <c r="C4" s="264" t="s">
        <v>2</v>
      </c>
      <c r="D4" s="268" t="s">
        <v>101</v>
      </c>
      <c r="E4" s="266"/>
      <c r="F4" s="257" t="s">
        <v>102</v>
      </c>
      <c r="G4" s="257" t="s">
        <v>103</v>
      </c>
      <c r="H4" s="257" t="s">
        <v>104</v>
      </c>
      <c r="I4" s="269" t="s">
        <v>16</v>
      </c>
    </row>
    <row r="5" spans="1:9" s="14" customFormat="1" ht="40.5" customHeight="1" thickBot="1" x14ac:dyDescent="0.3">
      <c r="A5" s="251"/>
      <c r="B5" s="267"/>
      <c r="C5" s="265"/>
      <c r="D5" s="29" t="s">
        <v>67</v>
      </c>
      <c r="E5" s="29" t="s">
        <v>68</v>
      </c>
      <c r="F5" s="258"/>
      <c r="G5" s="258"/>
      <c r="H5" s="258"/>
      <c r="I5" s="270"/>
    </row>
    <row r="6" spans="1:9" s="64" customFormat="1" ht="26.25" thickBot="1" x14ac:dyDescent="0.3">
      <c r="A6" s="62">
        <v>1</v>
      </c>
      <c r="B6" s="63">
        <v>2</v>
      </c>
      <c r="C6" s="63">
        <v>3</v>
      </c>
      <c r="D6" s="57">
        <v>4</v>
      </c>
      <c r="E6" s="57" t="s">
        <v>99</v>
      </c>
      <c r="F6" s="57">
        <v>6</v>
      </c>
      <c r="G6" s="57">
        <v>7</v>
      </c>
      <c r="H6" s="57" t="s">
        <v>19</v>
      </c>
      <c r="I6" s="61">
        <v>9</v>
      </c>
    </row>
    <row r="7" spans="1:9" ht="67.5" customHeight="1" thickBot="1" x14ac:dyDescent="0.3">
      <c r="A7" s="131">
        <v>1</v>
      </c>
      <c r="B7" s="132" t="s">
        <v>162</v>
      </c>
      <c r="C7" s="133" t="s">
        <v>163</v>
      </c>
      <c r="D7" s="141">
        <v>20</v>
      </c>
      <c r="E7" s="141">
        <f>1/60*D7</f>
        <v>0.33333333333333331</v>
      </c>
      <c r="F7" s="141">
        <v>8</v>
      </c>
      <c r="G7" s="141">
        <v>8</v>
      </c>
      <c r="H7" s="141">
        <f>F7*G7</f>
        <v>64</v>
      </c>
      <c r="I7" s="142">
        <v>20</v>
      </c>
    </row>
    <row r="8" spans="1:9" ht="63" customHeight="1" thickBot="1" x14ac:dyDescent="0.3">
      <c r="A8" s="131">
        <v>2</v>
      </c>
      <c r="B8" s="143" t="s">
        <v>164</v>
      </c>
      <c r="C8" s="167" t="s">
        <v>163</v>
      </c>
      <c r="D8" s="141">
        <v>25</v>
      </c>
      <c r="E8" s="141">
        <f t="shared" ref="E8:E11" si="0">1/60*D8</f>
        <v>0.41666666666666669</v>
      </c>
      <c r="F8" s="141">
        <v>8</v>
      </c>
      <c r="G8" s="141">
        <v>8</v>
      </c>
      <c r="H8" s="141">
        <f t="shared" ref="H8:H11" si="1">F8*G8</f>
        <v>64</v>
      </c>
      <c r="I8" s="142">
        <v>20</v>
      </c>
    </row>
    <row r="9" spans="1:9" ht="60" customHeight="1" thickBot="1" x14ac:dyDescent="0.3">
      <c r="A9" s="131">
        <v>3</v>
      </c>
      <c r="B9" s="143" t="s">
        <v>165</v>
      </c>
      <c r="C9" s="167" t="s">
        <v>163</v>
      </c>
      <c r="D9" s="141">
        <v>25</v>
      </c>
      <c r="E9" s="141">
        <f t="shared" si="0"/>
        <v>0.41666666666666669</v>
      </c>
      <c r="F9" s="141">
        <v>4</v>
      </c>
      <c r="G9" s="141">
        <v>8</v>
      </c>
      <c r="H9" s="141">
        <f t="shared" si="1"/>
        <v>32</v>
      </c>
      <c r="I9" s="142">
        <v>20</v>
      </c>
    </row>
    <row r="10" spans="1:9" ht="66.75" customHeight="1" thickBot="1" x14ac:dyDescent="0.3">
      <c r="A10" s="131">
        <v>4</v>
      </c>
      <c r="B10" s="143" t="s">
        <v>166</v>
      </c>
      <c r="C10" s="167" t="s">
        <v>163</v>
      </c>
      <c r="D10" s="141">
        <v>25</v>
      </c>
      <c r="E10" s="141">
        <f t="shared" si="0"/>
        <v>0.41666666666666669</v>
      </c>
      <c r="F10" s="141">
        <v>8</v>
      </c>
      <c r="G10" s="141">
        <v>8</v>
      </c>
      <c r="H10" s="141">
        <f t="shared" si="1"/>
        <v>64</v>
      </c>
      <c r="I10" s="142">
        <v>20</v>
      </c>
    </row>
    <row r="11" spans="1:9" ht="66.75" customHeight="1" thickBot="1" x14ac:dyDescent="0.3">
      <c r="A11" s="131">
        <v>5</v>
      </c>
      <c r="B11" s="143" t="s">
        <v>190</v>
      </c>
      <c r="C11" s="167" t="s">
        <v>163</v>
      </c>
      <c r="D11" s="141">
        <v>20</v>
      </c>
      <c r="E11" s="141">
        <f t="shared" si="0"/>
        <v>0.33333333333333331</v>
      </c>
      <c r="F11" s="141">
        <v>8</v>
      </c>
      <c r="G11" s="141">
        <v>8</v>
      </c>
      <c r="H11" s="141">
        <f t="shared" si="1"/>
        <v>64</v>
      </c>
      <c r="I11" s="142">
        <v>15</v>
      </c>
    </row>
    <row r="12" spans="1:9" ht="66.75" customHeight="1" thickBot="1" x14ac:dyDescent="0.3">
      <c r="A12" s="131">
        <v>6</v>
      </c>
      <c r="B12" s="143" t="str">
        <f>'Табл.1-расчет стоимости'!B17</f>
        <v>Развитие творческих способностей</v>
      </c>
      <c r="C12" s="167" t="s">
        <v>163</v>
      </c>
      <c r="D12" s="141">
        <v>25</v>
      </c>
      <c r="E12" s="141">
        <f t="shared" ref="E12:E15" si="2">1/60*D12</f>
        <v>0.41666666666666669</v>
      </c>
      <c r="F12" s="141">
        <v>8</v>
      </c>
      <c r="G12" s="141">
        <v>8</v>
      </c>
      <c r="H12" s="141">
        <f t="shared" ref="H12:H15" si="3">F12*G12</f>
        <v>64</v>
      </c>
      <c r="I12" s="9">
        <v>20</v>
      </c>
    </row>
    <row r="13" spans="1:9" ht="66.75" customHeight="1" thickBot="1" x14ac:dyDescent="0.3">
      <c r="A13" s="131">
        <v>7</v>
      </c>
      <c r="B13" s="143" t="str">
        <f>'Табл.1-расчет стоимости'!B18</f>
        <v>Ранее музыкальное развитие</v>
      </c>
      <c r="C13" s="167" t="s">
        <v>163</v>
      </c>
      <c r="D13" s="141">
        <v>25</v>
      </c>
      <c r="E13" s="141">
        <f t="shared" si="2"/>
        <v>0.41666666666666669</v>
      </c>
      <c r="F13" s="141">
        <v>8</v>
      </c>
      <c r="G13" s="141">
        <v>8</v>
      </c>
      <c r="H13" s="141">
        <f t="shared" si="3"/>
        <v>64</v>
      </c>
      <c r="I13" s="200">
        <v>20</v>
      </c>
    </row>
    <row r="14" spans="1:9" ht="66.75" customHeight="1" thickBot="1" x14ac:dyDescent="0.3">
      <c r="A14" s="131">
        <v>8</v>
      </c>
      <c r="B14" s="143" t="str">
        <f>'Табл.1-расчет стоимости'!B19</f>
        <v>Занятие вокалом</v>
      </c>
      <c r="C14" s="167" t="s">
        <v>163</v>
      </c>
      <c r="D14" s="141">
        <v>25</v>
      </c>
      <c r="E14" s="141">
        <f t="shared" si="2"/>
        <v>0.41666666666666669</v>
      </c>
      <c r="F14" s="141">
        <v>8</v>
      </c>
      <c r="G14" s="141">
        <v>8</v>
      </c>
      <c r="H14" s="141">
        <f t="shared" si="3"/>
        <v>64</v>
      </c>
      <c r="I14" s="200">
        <v>20</v>
      </c>
    </row>
    <row r="15" spans="1:9" ht="66.75" customHeight="1" thickBot="1" x14ac:dyDescent="0.3">
      <c r="A15" s="131">
        <v>9</v>
      </c>
      <c r="B15" s="143" t="str">
        <f>'Табл.1-расчет стоимости'!B20</f>
        <v>Обучение игре шахматам</v>
      </c>
      <c r="C15" s="167" t="s">
        <v>163</v>
      </c>
      <c r="D15" s="141">
        <v>25</v>
      </c>
      <c r="E15" s="141">
        <f t="shared" si="2"/>
        <v>0.41666666666666669</v>
      </c>
      <c r="F15" s="141">
        <v>8</v>
      </c>
      <c r="G15" s="141">
        <v>8</v>
      </c>
      <c r="H15" s="141">
        <f t="shared" si="3"/>
        <v>64</v>
      </c>
      <c r="I15" s="200">
        <v>20</v>
      </c>
    </row>
    <row r="16" spans="1:9" ht="48" thickBot="1" x14ac:dyDescent="0.3">
      <c r="A16" s="131">
        <v>10</v>
      </c>
      <c r="B16" s="143" t="str">
        <f>'Табл.1-расчет стоимости'!B21</f>
        <v>В гостях у сказки</v>
      </c>
      <c r="C16" s="167" t="s">
        <v>163</v>
      </c>
      <c r="D16" s="141">
        <v>25</v>
      </c>
      <c r="E16" s="141">
        <f t="shared" ref="E16" si="4">1/60*D16</f>
        <v>0.41666666666666669</v>
      </c>
      <c r="F16" s="141">
        <v>4</v>
      </c>
      <c r="G16" s="141">
        <v>8</v>
      </c>
      <c r="H16" s="141">
        <f t="shared" ref="H16" si="5">F16*G16</f>
        <v>32</v>
      </c>
      <c r="I16" s="244">
        <v>20</v>
      </c>
    </row>
    <row r="17" spans="1:9" ht="33.75" customHeight="1" x14ac:dyDescent="0.25">
      <c r="A17" s="96" t="s">
        <v>17</v>
      </c>
      <c r="B17" s="252" t="s">
        <v>116</v>
      </c>
      <c r="C17" s="252"/>
      <c r="D17" s="252"/>
      <c r="E17" s="252"/>
      <c r="F17" s="252"/>
      <c r="G17" s="252"/>
      <c r="H17" s="252"/>
      <c r="I17" s="252"/>
    </row>
  </sheetData>
  <mergeCells count="11">
    <mergeCell ref="B17:I17"/>
    <mergeCell ref="A2:I2"/>
    <mergeCell ref="H4:H5"/>
    <mergeCell ref="G4:G5"/>
    <mergeCell ref="C4:C5"/>
    <mergeCell ref="B3:I3"/>
    <mergeCell ref="B4:B5"/>
    <mergeCell ref="D4:E4"/>
    <mergeCell ref="F4:F5"/>
    <mergeCell ref="I4:I5"/>
    <mergeCell ref="A4:A5"/>
  </mergeCells>
  <pageMargins left="0.31496062992125984" right="0.31496062992125984" top="0.35433070866141736" bottom="0.35433070866141736" header="0.31496062992125984" footer="0.31496062992125984"/>
  <pageSetup paperSize="9" scale="94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9"/>
  <sheetViews>
    <sheetView view="pageBreakPreview" zoomScale="85" zoomScaleNormal="85" zoomScaleSheetLayoutView="85" workbookViewId="0">
      <selection activeCell="Z18" sqref="Z18"/>
    </sheetView>
  </sheetViews>
  <sheetFormatPr defaultRowHeight="15.75" x14ac:dyDescent="0.25"/>
  <cols>
    <col min="1" max="1" width="4.140625" style="9" customWidth="1"/>
    <col min="2" max="2" width="17.5703125" style="9" customWidth="1"/>
    <col min="3" max="3" width="18.42578125" style="9" customWidth="1"/>
    <col min="4" max="4" width="13.85546875" style="9" customWidth="1"/>
    <col min="5" max="5" width="20.42578125" style="9" customWidth="1"/>
    <col min="6" max="6" width="15.28515625" style="10" customWidth="1"/>
    <col min="7" max="7" width="7" style="9" customWidth="1"/>
    <col min="8" max="8" width="12.42578125" style="10" customWidth="1"/>
    <col min="9" max="9" width="6.140625" style="9" customWidth="1"/>
    <col min="10" max="10" width="11.42578125" style="10" customWidth="1"/>
    <col min="11" max="11" width="12" style="9" customWidth="1"/>
    <col min="12" max="12" width="8.140625" style="9" customWidth="1"/>
    <col min="13" max="13" width="14" style="9" customWidth="1"/>
    <col min="14" max="14" width="7.42578125" style="9" customWidth="1"/>
    <col min="15" max="15" width="12.7109375" style="9" customWidth="1"/>
    <col min="16" max="16" width="9.5703125" style="9" customWidth="1"/>
    <col min="17" max="17" width="11.85546875" style="9" customWidth="1"/>
    <col min="18" max="18" width="13.7109375" style="9" customWidth="1"/>
    <col min="19" max="19" width="6.7109375" style="9" customWidth="1"/>
    <col min="20" max="20" width="13.85546875" style="9" customWidth="1"/>
    <col min="21" max="21" width="13.28515625" style="12" customWidth="1"/>
    <col min="22" max="22" width="15.85546875" style="12" customWidth="1"/>
    <col min="23" max="23" width="10.42578125" style="12" customWidth="1"/>
    <col min="24" max="24" width="15.5703125" style="9" customWidth="1"/>
    <col min="25" max="25" width="11" style="9" customWidth="1"/>
    <col min="26" max="26" width="17.140625" style="9" customWidth="1"/>
    <col min="27" max="16384" width="9.140625" style="9"/>
  </cols>
  <sheetData>
    <row r="1" spans="1:26" ht="15.75" customHeight="1" x14ac:dyDescent="0.25">
      <c r="Z1" s="37" t="s">
        <v>96</v>
      </c>
    </row>
    <row r="2" spans="1:26" s="19" customFormat="1" ht="15.75" customHeight="1" x14ac:dyDescent="0.25">
      <c r="B2" s="248" t="s">
        <v>105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</row>
    <row r="3" spans="1:26" ht="16.5" thickBot="1" x14ac:dyDescent="0.3"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</row>
    <row r="4" spans="1:26" s="14" customFormat="1" ht="31.5" customHeight="1" x14ac:dyDescent="0.25">
      <c r="A4" s="250" t="s">
        <v>18</v>
      </c>
      <c r="B4" s="266" t="s">
        <v>106</v>
      </c>
      <c r="C4" s="264" t="s">
        <v>2</v>
      </c>
      <c r="D4" s="257" t="s">
        <v>66</v>
      </c>
      <c r="E4" s="278" t="s">
        <v>0</v>
      </c>
      <c r="F4" s="297" t="s">
        <v>6</v>
      </c>
      <c r="G4" s="275" t="s">
        <v>3</v>
      </c>
      <c r="H4" s="275"/>
      <c r="I4" s="275"/>
      <c r="J4" s="275"/>
      <c r="K4" s="275"/>
      <c r="L4" s="275"/>
      <c r="M4" s="275"/>
      <c r="N4" s="280" t="s">
        <v>108</v>
      </c>
      <c r="O4" s="281"/>
      <c r="P4" s="280" t="s">
        <v>13</v>
      </c>
      <c r="Q4" s="281"/>
      <c r="R4" s="301" t="s">
        <v>9</v>
      </c>
      <c r="S4" s="280" t="s">
        <v>12</v>
      </c>
      <c r="T4" s="281"/>
      <c r="U4" s="280" t="s">
        <v>10</v>
      </c>
      <c r="V4" s="255" t="s">
        <v>11</v>
      </c>
      <c r="W4" s="291" t="s">
        <v>14</v>
      </c>
      <c r="X4" s="292"/>
      <c r="Y4" s="259" t="s">
        <v>110</v>
      </c>
      <c r="Z4" s="303" t="s">
        <v>109</v>
      </c>
    </row>
    <row r="5" spans="1:26" s="14" customFormat="1" ht="89.25" customHeight="1" x14ac:dyDescent="0.25">
      <c r="A5" s="271"/>
      <c r="B5" s="276"/>
      <c r="C5" s="277"/>
      <c r="D5" s="286"/>
      <c r="E5" s="273"/>
      <c r="F5" s="298"/>
      <c r="G5" s="285" t="s">
        <v>7</v>
      </c>
      <c r="H5" s="272"/>
      <c r="I5" s="272" t="s">
        <v>15</v>
      </c>
      <c r="J5" s="272"/>
      <c r="K5" s="279" t="s">
        <v>1</v>
      </c>
      <c r="L5" s="279" t="s">
        <v>107</v>
      </c>
      <c r="M5" s="279" t="s">
        <v>8</v>
      </c>
      <c r="N5" s="282"/>
      <c r="O5" s="283"/>
      <c r="P5" s="282"/>
      <c r="Q5" s="283"/>
      <c r="R5" s="302"/>
      <c r="S5" s="282"/>
      <c r="T5" s="283"/>
      <c r="U5" s="282"/>
      <c r="V5" s="274"/>
      <c r="W5" s="293"/>
      <c r="X5" s="294"/>
      <c r="Y5" s="287"/>
      <c r="Z5" s="304"/>
    </row>
    <row r="6" spans="1:26" s="14" customFormat="1" ht="24.75" customHeight="1" x14ac:dyDescent="0.25">
      <c r="A6" s="271"/>
      <c r="B6" s="276"/>
      <c r="C6" s="277"/>
      <c r="D6" s="286"/>
      <c r="E6" s="273"/>
      <c r="F6" s="298"/>
      <c r="G6" s="300"/>
      <c r="H6" s="273"/>
      <c r="I6" s="273"/>
      <c r="J6" s="273"/>
      <c r="K6" s="274"/>
      <c r="L6" s="274"/>
      <c r="M6" s="274"/>
      <c r="N6" s="282"/>
      <c r="O6" s="283"/>
      <c r="P6" s="282"/>
      <c r="Q6" s="283"/>
      <c r="R6" s="302"/>
      <c r="S6" s="284"/>
      <c r="T6" s="285"/>
      <c r="U6" s="282"/>
      <c r="V6" s="274"/>
      <c r="W6" s="293"/>
      <c r="X6" s="294"/>
      <c r="Y6" s="287"/>
      <c r="Z6" s="304"/>
    </row>
    <row r="7" spans="1:26" s="14" customFormat="1" ht="23.25" customHeight="1" thickBot="1" x14ac:dyDescent="0.3">
      <c r="A7" s="251"/>
      <c r="B7" s="267"/>
      <c r="C7" s="265"/>
      <c r="D7" s="258"/>
      <c r="E7" s="279"/>
      <c r="F7" s="299"/>
      <c r="G7" s="7" t="s">
        <v>4</v>
      </c>
      <c r="H7" s="8" t="s">
        <v>5</v>
      </c>
      <c r="I7" s="5" t="s">
        <v>4</v>
      </c>
      <c r="J7" s="8" t="s">
        <v>5</v>
      </c>
      <c r="K7" s="274"/>
      <c r="L7" s="274"/>
      <c r="M7" s="274"/>
      <c r="N7" s="289"/>
      <c r="O7" s="290"/>
      <c r="P7" s="289"/>
      <c r="Q7" s="290"/>
      <c r="R7" s="302"/>
      <c r="S7" s="6" t="s">
        <v>4</v>
      </c>
      <c r="T7" s="4" t="s">
        <v>5</v>
      </c>
      <c r="U7" s="282"/>
      <c r="V7" s="274"/>
      <c r="W7" s="295"/>
      <c r="X7" s="296"/>
      <c r="Y7" s="288"/>
      <c r="Z7" s="305"/>
    </row>
    <row r="8" spans="1:26" s="24" customFormat="1" ht="33.75" customHeight="1" thickBot="1" x14ac:dyDescent="0.3">
      <c r="A8" s="21">
        <v>1</v>
      </c>
      <c r="B8" s="22">
        <v>2</v>
      </c>
      <c r="C8" s="23">
        <v>3</v>
      </c>
      <c r="D8" s="23">
        <v>4</v>
      </c>
      <c r="E8" s="13">
        <v>5</v>
      </c>
      <c r="F8" s="13">
        <v>6</v>
      </c>
      <c r="G8" s="13">
        <v>7</v>
      </c>
      <c r="H8" s="13" t="s">
        <v>19</v>
      </c>
      <c r="I8" s="13">
        <v>9</v>
      </c>
      <c r="J8" s="13" t="s">
        <v>20</v>
      </c>
      <c r="K8" s="13">
        <v>11</v>
      </c>
      <c r="L8" s="13">
        <v>12</v>
      </c>
      <c r="M8" s="13" t="s">
        <v>21</v>
      </c>
      <c r="N8" s="13">
        <v>14</v>
      </c>
      <c r="O8" s="13" t="s">
        <v>22</v>
      </c>
      <c r="P8" s="13">
        <v>16</v>
      </c>
      <c r="Q8" s="13" t="s">
        <v>23</v>
      </c>
      <c r="R8" s="13" t="s">
        <v>111</v>
      </c>
      <c r="S8" s="13">
        <v>19</v>
      </c>
      <c r="T8" s="13" t="s">
        <v>24</v>
      </c>
      <c r="U8" s="13" t="s">
        <v>112</v>
      </c>
      <c r="V8" s="13" t="s">
        <v>41</v>
      </c>
      <c r="W8" s="38">
        <v>23</v>
      </c>
      <c r="X8" s="39" t="s">
        <v>25</v>
      </c>
      <c r="Y8" s="38">
        <v>25</v>
      </c>
      <c r="Z8" s="95" t="s">
        <v>137</v>
      </c>
    </row>
    <row r="9" spans="1:26" ht="76.5" customHeight="1" thickBot="1" x14ac:dyDescent="0.3">
      <c r="A9" s="154">
        <v>1</v>
      </c>
      <c r="B9" s="152" t="s">
        <v>162</v>
      </c>
      <c r="C9" s="153" t="s">
        <v>163</v>
      </c>
      <c r="D9" s="155">
        <v>1</v>
      </c>
      <c r="E9" s="156" t="s">
        <v>167</v>
      </c>
      <c r="F9" s="157">
        <v>21064</v>
      </c>
      <c r="G9" s="158">
        <v>0.2</v>
      </c>
      <c r="H9" s="157">
        <f>F9*G9</f>
        <v>4212.8</v>
      </c>
      <c r="I9" s="158"/>
      <c r="J9" s="157">
        <f>F9*I9</f>
        <v>0</v>
      </c>
      <c r="K9" s="157"/>
      <c r="L9" s="157"/>
      <c r="M9" s="159">
        <f>H9+J9+K9+L9</f>
        <v>4212.8</v>
      </c>
      <c r="N9" s="160">
        <v>0.15</v>
      </c>
      <c r="O9" s="157">
        <f>(F9+M9)*N9</f>
        <v>3791.5199999999995</v>
      </c>
      <c r="P9" s="161">
        <v>0.217</v>
      </c>
      <c r="Q9" s="157">
        <f>(F9+M9+O9)*P9</f>
        <v>6307.8254399999996</v>
      </c>
      <c r="R9" s="157">
        <f>F9+M9+O9+Q9</f>
        <v>35376.14544</v>
      </c>
      <c r="S9" s="160">
        <v>0.25</v>
      </c>
      <c r="T9" s="157">
        <f>IF(P9=0,F9*S9*(100%+N9),IF(P9=21.7%,F9*S9*(100%+N9)*(100%+P9)))</f>
        <v>7370.0303000000004</v>
      </c>
      <c r="U9" s="162">
        <f>(R9+T9)*12/12/29.3*28</f>
        <v>40849.587737883958</v>
      </c>
      <c r="V9" s="162">
        <f>R9*11+T9*12+U9</f>
        <v>518427.55117788393</v>
      </c>
      <c r="W9" s="163">
        <v>0.30199999999999999</v>
      </c>
      <c r="X9" s="164">
        <f>V9*(100%+W9)</f>
        <v>674992.67163360491</v>
      </c>
      <c r="Y9" s="155">
        <v>765</v>
      </c>
      <c r="Z9" s="168">
        <f>X9/Y9*'Табл.2-программа по услуге'!E7</f>
        <v>294.11445387085178</v>
      </c>
    </row>
    <row r="10" spans="1:26" ht="67.5" customHeight="1" thickBot="1" x14ac:dyDescent="0.3">
      <c r="A10" s="131">
        <v>2</v>
      </c>
      <c r="B10" s="143" t="s">
        <v>164</v>
      </c>
      <c r="C10" s="133" t="s">
        <v>163</v>
      </c>
      <c r="D10" s="141">
        <v>1</v>
      </c>
      <c r="E10" s="143" t="s">
        <v>168</v>
      </c>
      <c r="F10" s="144">
        <v>21745</v>
      </c>
      <c r="G10" s="145">
        <v>0.2</v>
      </c>
      <c r="H10" s="144">
        <f t="shared" ref="H10:H13" si="0">F10*G10</f>
        <v>4349</v>
      </c>
      <c r="I10" s="145"/>
      <c r="J10" s="144">
        <f t="shared" ref="J10:J13" si="1">F10*I10</f>
        <v>0</v>
      </c>
      <c r="K10" s="144"/>
      <c r="L10" s="144"/>
      <c r="M10" s="146">
        <f t="shared" ref="M10:M13" si="2">H10+J10+K10+L10</f>
        <v>4349</v>
      </c>
      <c r="N10" s="147">
        <v>0.15</v>
      </c>
      <c r="O10" s="144">
        <f t="shared" ref="O10:O13" si="3">(F10+M10)*N10</f>
        <v>3914.1</v>
      </c>
      <c r="P10" s="148">
        <v>0.217</v>
      </c>
      <c r="Q10" s="144">
        <f t="shared" ref="Q10:Q13" si="4">(F10+M10+O10)*P10</f>
        <v>6511.7576999999992</v>
      </c>
      <c r="R10" s="144">
        <f t="shared" ref="R10:R13" si="5">F10+M10+O10+Q10</f>
        <v>36519.8577</v>
      </c>
      <c r="S10" s="147">
        <v>0.25</v>
      </c>
      <c r="T10" s="144">
        <f t="shared" ref="T10:T13" si="6">IF(P10=0,F10*S10*(100%+N10),IF(P10=21.7%,F10*S10*(100%+N10)*(100%+P10)))</f>
        <v>7608.3036874999998</v>
      </c>
      <c r="U10" s="149">
        <f t="shared" ref="U10:U13" si="7">(R10+T10)*12/12/29.3*28</f>
        <v>42170.256616040962</v>
      </c>
      <c r="V10" s="149">
        <f t="shared" ref="V10:V13" si="8">R10*11+T10*12+U10</f>
        <v>535188.33556604094</v>
      </c>
      <c r="W10" s="150">
        <v>0.30199999999999999</v>
      </c>
      <c r="X10" s="151">
        <f t="shared" ref="X10:X13" si="9">V10*(100%+W10)</f>
        <v>696815.21290698531</v>
      </c>
      <c r="Y10" s="141">
        <v>1149</v>
      </c>
      <c r="Z10" s="169">
        <f>X10/Y10*'Табл.2-программа по услуге'!E8</f>
        <v>252.68900961233874</v>
      </c>
    </row>
    <row r="11" spans="1:26" ht="64.5" customHeight="1" thickBot="1" x14ac:dyDescent="0.3">
      <c r="A11" s="131">
        <v>3</v>
      </c>
      <c r="B11" s="143" t="s">
        <v>165</v>
      </c>
      <c r="C11" s="133" t="s">
        <v>163</v>
      </c>
      <c r="D11" s="141">
        <v>1</v>
      </c>
      <c r="E11" s="143" t="s">
        <v>168</v>
      </c>
      <c r="F11" s="144">
        <v>21745</v>
      </c>
      <c r="G11" s="145">
        <v>0.2</v>
      </c>
      <c r="H11" s="144">
        <f t="shared" si="0"/>
        <v>4349</v>
      </c>
      <c r="I11" s="145"/>
      <c r="J11" s="144">
        <f t="shared" si="1"/>
        <v>0</v>
      </c>
      <c r="K11" s="144"/>
      <c r="L11" s="144"/>
      <c r="M11" s="146">
        <f t="shared" si="2"/>
        <v>4349</v>
      </c>
      <c r="N11" s="147">
        <v>0.15</v>
      </c>
      <c r="O11" s="144">
        <f t="shared" si="3"/>
        <v>3914.1</v>
      </c>
      <c r="P11" s="148">
        <v>0.217</v>
      </c>
      <c r="Q11" s="144">
        <f t="shared" si="4"/>
        <v>6511.7576999999992</v>
      </c>
      <c r="R11" s="144">
        <f t="shared" si="5"/>
        <v>36519.8577</v>
      </c>
      <c r="S11" s="147">
        <v>0.25</v>
      </c>
      <c r="T11" s="144">
        <f t="shared" si="6"/>
        <v>7608.3036874999998</v>
      </c>
      <c r="U11" s="149">
        <f t="shared" si="7"/>
        <v>42170.256616040962</v>
      </c>
      <c r="V11" s="149">
        <f t="shared" si="8"/>
        <v>535188.33556604094</v>
      </c>
      <c r="W11" s="150">
        <v>0.30199999999999999</v>
      </c>
      <c r="X11" s="151">
        <f t="shared" si="9"/>
        <v>696815.21290698531</v>
      </c>
      <c r="Y11" s="141">
        <v>1149</v>
      </c>
      <c r="Z11" s="169">
        <f>X11/Y11*'Табл.2-программа по услуге'!E9</f>
        <v>252.68900961233874</v>
      </c>
    </row>
    <row r="12" spans="1:26" ht="76.5" customHeight="1" thickBot="1" x14ac:dyDescent="0.3">
      <c r="A12" s="165">
        <v>4</v>
      </c>
      <c r="B12" s="166" t="s">
        <v>166</v>
      </c>
      <c r="C12" s="133" t="s">
        <v>163</v>
      </c>
      <c r="D12" s="141">
        <v>1</v>
      </c>
      <c r="E12" s="143" t="s">
        <v>169</v>
      </c>
      <c r="F12" s="144">
        <v>21745</v>
      </c>
      <c r="G12" s="145"/>
      <c r="H12" s="144">
        <f t="shared" si="0"/>
        <v>0</v>
      </c>
      <c r="I12" s="145"/>
      <c r="J12" s="144">
        <f t="shared" si="1"/>
        <v>0</v>
      </c>
      <c r="K12" s="144"/>
      <c r="L12" s="144"/>
      <c r="M12" s="146">
        <f t="shared" si="2"/>
        <v>0</v>
      </c>
      <c r="N12" s="147">
        <v>0.15</v>
      </c>
      <c r="O12" s="144">
        <f t="shared" si="3"/>
        <v>3261.75</v>
      </c>
      <c r="P12" s="148">
        <v>0.217</v>
      </c>
      <c r="Q12" s="144">
        <f t="shared" si="4"/>
        <v>5426.4647500000001</v>
      </c>
      <c r="R12" s="144">
        <f t="shared" si="5"/>
        <v>30433.214749999999</v>
      </c>
      <c r="S12" s="147">
        <v>0.25</v>
      </c>
      <c r="T12" s="144">
        <f t="shared" si="6"/>
        <v>7608.3036874999998</v>
      </c>
      <c r="U12" s="149">
        <f t="shared" si="7"/>
        <v>36353.669496587027</v>
      </c>
      <c r="V12" s="149">
        <f t="shared" si="8"/>
        <v>462418.67599658703</v>
      </c>
      <c r="W12" s="150">
        <v>0.30199999999999999</v>
      </c>
      <c r="X12" s="151">
        <f t="shared" si="9"/>
        <v>602069.11614755634</v>
      </c>
      <c r="Y12" s="141">
        <v>1149</v>
      </c>
      <c r="Z12" s="169">
        <f>X12/Y12*'Табл.2-программа по услуге'!E10</f>
        <v>218.33083701318407</v>
      </c>
    </row>
    <row r="13" spans="1:26" ht="79.5" thickBot="1" x14ac:dyDescent="0.3">
      <c r="A13" s="131">
        <v>5</v>
      </c>
      <c r="B13" s="143" t="s">
        <v>190</v>
      </c>
      <c r="C13" s="133" t="s">
        <v>163</v>
      </c>
      <c r="D13" s="141">
        <v>1</v>
      </c>
      <c r="E13" s="143" t="s">
        <v>191</v>
      </c>
      <c r="F13" s="144">
        <v>21164</v>
      </c>
      <c r="G13" s="145"/>
      <c r="H13" s="144">
        <f t="shared" si="0"/>
        <v>0</v>
      </c>
      <c r="I13" s="145"/>
      <c r="J13" s="144">
        <f t="shared" si="1"/>
        <v>0</v>
      </c>
      <c r="K13" s="144"/>
      <c r="L13" s="144"/>
      <c r="M13" s="146">
        <f t="shared" si="2"/>
        <v>0</v>
      </c>
      <c r="N13" s="147">
        <v>0.15</v>
      </c>
      <c r="O13" s="144">
        <f t="shared" si="3"/>
        <v>3174.6</v>
      </c>
      <c r="P13" s="148">
        <v>0.217</v>
      </c>
      <c r="Q13" s="144">
        <f t="shared" si="4"/>
        <v>5281.4762000000001</v>
      </c>
      <c r="R13" s="144">
        <f t="shared" si="5"/>
        <v>29620.0762</v>
      </c>
      <c r="S13" s="147">
        <v>0.25</v>
      </c>
      <c r="T13" s="144">
        <f t="shared" si="6"/>
        <v>7405.0190499999999</v>
      </c>
      <c r="U13" s="149">
        <f t="shared" si="7"/>
        <v>35382.343583617745</v>
      </c>
      <c r="V13" s="149">
        <f t="shared" si="8"/>
        <v>450063.4103836178</v>
      </c>
      <c r="W13" s="150">
        <v>0.30199999999999999</v>
      </c>
      <c r="X13" s="151">
        <f t="shared" si="9"/>
        <v>585982.56031947036</v>
      </c>
      <c r="Y13" s="141">
        <v>950</v>
      </c>
      <c r="Z13" s="169">
        <f>X13/Y13*'Табл.2-программа по услуге'!E11</f>
        <v>205.60791590156853</v>
      </c>
    </row>
    <row r="14" spans="1:26" ht="48" thickBot="1" x14ac:dyDescent="0.3">
      <c r="A14" s="131">
        <v>6</v>
      </c>
      <c r="B14" s="143" t="str">
        <f>'Табл.1-расчет стоимости'!B17</f>
        <v>Развитие творческих способностей</v>
      </c>
      <c r="C14" s="133" t="s">
        <v>163</v>
      </c>
      <c r="D14" s="141">
        <v>1</v>
      </c>
      <c r="E14" s="143" t="s">
        <v>168</v>
      </c>
      <c r="F14" s="144">
        <v>21745</v>
      </c>
      <c r="G14" s="145">
        <v>0.2</v>
      </c>
      <c r="H14" s="144">
        <f t="shared" ref="H14" si="10">F14*G14</f>
        <v>4349</v>
      </c>
      <c r="I14" s="145"/>
      <c r="J14" s="144">
        <f t="shared" ref="J14" si="11">F14*I14</f>
        <v>0</v>
      </c>
      <c r="K14" s="144"/>
      <c r="L14" s="144"/>
      <c r="M14" s="146">
        <f t="shared" ref="M14" si="12">H14+J14+K14+L14</f>
        <v>4349</v>
      </c>
      <c r="N14" s="147">
        <v>0.15</v>
      </c>
      <c r="O14" s="144">
        <f t="shared" ref="O14" si="13">(F14+M14)*N14</f>
        <v>3914.1</v>
      </c>
      <c r="P14" s="148">
        <v>0.217</v>
      </c>
      <c r="Q14" s="144">
        <f t="shared" ref="Q14" si="14">(F14+M14+O14)*P14</f>
        <v>6511.7576999999992</v>
      </c>
      <c r="R14" s="144">
        <f t="shared" ref="R14" si="15">F14+M14+O14+Q14</f>
        <v>36519.8577</v>
      </c>
      <c r="S14" s="147">
        <v>0.25</v>
      </c>
      <c r="T14" s="144">
        <f t="shared" ref="T14" si="16">IF(P14=0,F14*S14*(100%+N14),IF(P14=21.7%,F14*S14*(100%+N14)*(100%+P14)))</f>
        <v>7608.3036874999998</v>
      </c>
      <c r="U14" s="149">
        <f t="shared" ref="U14" si="17">(R14+T14)*12/12/29.3*28</f>
        <v>42170.256616040962</v>
      </c>
      <c r="V14" s="149">
        <f t="shared" ref="V14" si="18">R14*11+T14*12+U14</f>
        <v>535188.33556604094</v>
      </c>
      <c r="W14" s="150">
        <v>0.30199999999999999</v>
      </c>
      <c r="X14" s="151">
        <f t="shared" ref="X14" si="19">V14*(100%+W14)</f>
        <v>696815.21290698531</v>
      </c>
      <c r="Y14" s="141">
        <v>1149</v>
      </c>
      <c r="Z14" s="169">
        <f>X14/Y14*'Табл.2-программа по услуге'!E12</f>
        <v>252.68900961233874</v>
      </c>
    </row>
    <row r="15" spans="1:26" ht="48" thickBot="1" x14ac:dyDescent="0.3">
      <c r="A15" s="154">
        <v>7</v>
      </c>
      <c r="B15" s="152" t="str">
        <f>'Табл.1-расчет стоимости'!B18</f>
        <v>Ранее музыкальное развитие</v>
      </c>
      <c r="C15" s="196" t="s">
        <v>163</v>
      </c>
      <c r="D15" s="155">
        <v>1</v>
      </c>
      <c r="E15" s="201" t="s">
        <v>167</v>
      </c>
      <c r="F15" s="157">
        <v>21164</v>
      </c>
      <c r="G15" s="158">
        <v>0.2</v>
      </c>
      <c r="H15" s="157">
        <f>F15*G15</f>
        <v>4232.8</v>
      </c>
      <c r="I15" s="158"/>
      <c r="J15" s="157">
        <f>F15*I15</f>
        <v>0</v>
      </c>
      <c r="K15" s="157"/>
      <c r="L15" s="157"/>
      <c r="M15" s="159">
        <f>H15+J15+K15+L15</f>
        <v>4232.8</v>
      </c>
      <c r="N15" s="160">
        <v>0.15</v>
      </c>
      <c r="O15" s="157">
        <f>(F15+M15)*N15</f>
        <v>3809.5199999999995</v>
      </c>
      <c r="P15" s="161">
        <v>0.217</v>
      </c>
      <c r="Q15" s="157">
        <f>(F15+M15+O15)*P15</f>
        <v>6337.7714399999995</v>
      </c>
      <c r="R15" s="157">
        <f>F15+M15+O15+Q15</f>
        <v>35544.091439999997</v>
      </c>
      <c r="S15" s="160">
        <v>0.25</v>
      </c>
      <c r="T15" s="157">
        <f>IF(P15=0,F15*S15*(100%+N15),IF(P15=21.7%,F15*S15*(100%+N15)*(100%+P15)))</f>
        <v>7405.0190499999999</v>
      </c>
      <c r="U15" s="162">
        <f>(R15+T15)*12/12/29.3*28</f>
        <v>41043.518556996591</v>
      </c>
      <c r="V15" s="162">
        <f>R15*11+T15*12+U15</f>
        <v>520888.75299699651</v>
      </c>
      <c r="W15" s="163">
        <v>0.30199999999999999</v>
      </c>
      <c r="X15" s="164">
        <f>V15*(100%+W15)</f>
        <v>678197.15640208952</v>
      </c>
      <c r="Y15" s="155">
        <v>765</v>
      </c>
      <c r="Z15" s="168">
        <f>X15/Y15*'Табл.2-программа по услуге'!E13</f>
        <v>369.38842941290284</v>
      </c>
    </row>
    <row r="16" spans="1:26" ht="47.25" x14ac:dyDescent="0.25">
      <c r="A16" s="154">
        <v>8</v>
      </c>
      <c r="B16" s="152" t="str">
        <f>'Табл.1-расчет стоимости'!B19</f>
        <v>Занятие вокалом</v>
      </c>
      <c r="C16" s="196" t="s">
        <v>163</v>
      </c>
      <c r="D16" s="155">
        <v>1</v>
      </c>
      <c r="E16" s="201" t="s">
        <v>167</v>
      </c>
      <c r="F16" s="157">
        <v>21164</v>
      </c>
      <c r="G16" s="158">
        <v>0.2</v>
      </c>
      <c r="H16" s="157">
        <f t="shared" ref="H16" si="20">F16*G16</f>
        <v>4232.8</v>
      </c>
      <c r="I16" s="158"/>
      <c r="J16" s="157">
        <f t="shared" ref="J16:J17" si="21">F16*I16</f>
        <v>0</v>
      </c>
      <c r="K16" s="157"/>
      <c r="L16" s="157"/>
      <c r="M16" s="159">
        <f t="shared" ref="M16:M17" si="22">H16+J16+K16+L16</f>
        <v>4232.8</v>
      </c>
      <c r="N16" s="160">
        <v>0.15</v>
      </c>
      <c r="O16" s="157">
        <f t="shared" ref="O16:O17" si="23">(F16+M16)*N16</f>
        <v>3809.5199999999995</v>
      </c>
      <c r="P16" s="161">
        <v>0.217</v>
      </c>
      <c r="Q16" s="157">
        <f t="shared" ref="Q16:Q18" si="24">(F16+M16+O16)*P16</f>
        <v>6337.7714399999995</v>
      </c>
      <c r="R16" s="157">
        <f t="shared" ref="R16:R17" si="25">F16+M16+O16+Q16</f>
        <v>35544.091439999997</v>
      </c>
      <c r="S16" s="160">
        <v>0.25</v>
      </c>
      <c r="T16" s="157">
        <f t="shared" ref="T16:T17" si="26">IF(P16=0,F16*S16*(100%+N16),IF(P16=21.7%,F16*S16*(100%+N16)*(100%+P16)))</f>
        <v>7405.0190499999999</v>
      </c>
      <c r="U16" s="162">
        <f t="shared" ref="U16:U18" si="27">(R16+T16)*12/12/29.3*28</f>
        <v>41043.518556996591</v>
      </c>
      <c r="V16" s="162">
        <f t="shared" ref="V16:V17" si="28">R16*11+T16*12+U16</f>
        <v>520888.75299699651</v>
      </c>
      <c r="W16" s="163">
        <v>0.30199999999999999</v>
      </c>
      <c r="X16" s="164">
        <f t="shared" ref="X16:X17" si="29">V16*(100%+W16)</f>
        <v>678197.15640208952</v>
      </c>
      <c r="Y16" s="155">
        <v>765</v>
      </c>
      <c r="Z16" s="168">
        <f>X16/Y16*'Табл.2-программа по услуге'!E14</f>
        <v>369.38842941290284</v>
      </c>
    </row>
    <row r="17" spans="1:26" ht="47.25" x14ac:dyDescent="0.25">
      <c r="A17" s="103">
        <v>9</v>
      </c>
      <c r="B17" s="209" t="str">
        <f>'Табл.1-расчет стоимости'!B20</f>
        <v>Обучение игре шахматам</v>
      </c>
      <c r="C17" s="210" t="s">
        <v>163</v>
      </c>
      <c r="D17" s="104">
        <v>1</v>
      </c>
      <c r="E17" s="211" t="s">
        <v>168</v>
      </c>
      <c r="F17" s="105">
        <v>21745</v>
      </c>
      <c r="G17" s="212">
        <v>0.2</v>
      </c>
      <c r="H17" s="105">
        <f>F17*G17</f>
        <v>4349</v>
      </c>
      <c r="I17" s="212"/>
      <c r="J17" s="105">
        <f t="shared" si="21"/>
        <v>0</v>
      </c>
      <c r="K17" s="105"/>
      <c r="L17" s="105"/>
      <c r="M17" s="213">
        <f t="shared" si="22"/>
        <v>4349</v>
      </c>
      <c r="N17" s="214">
        <v>0.15</v>
      </c>
      <c r="O17" s="105">
        <f t="shared" si="23"/>
        <v>3914.1</v>
      </c>
      <c r="P17" s="215">
        <v>0.217</v>
      </c>
      <c r="Q17" s="105">
        <f t="shared" si="24"/>
        <v>6511.7576999999992</v>
      </c>
      <c r="R17" s="105">
        <f t="shared" si="25"/>
        <v>36519.8577</v>
      </c>
      <c r="S17" s="214">
        <v>0.25</v>
      </c>
      <c r="T17" s="105">
        <f t="shared" si="26"/>
        <v>7608.3036874999998</v>
      </c>
      <c r="U17" s="216">
        <f t="shared" si="27"/>
        <v>42170.256616040962</v>
      </c>
      <c r="V17" s="216">
        <f t="shared" si="28"/>
        <v>535188.33556604094</v>
      </c>
      <c r="W17" s="217">
        <v>0.30199999999999999</v>
      </c>
      <c r="X17" s="218">
        <f t="shared" si="29"/>
        <v>696815.21290698531</v>
      </c>
      <c r="Y17" s="104">
        <v>1149</v>
      </c>
      <c r="Z17" s="219">
        <f>X17/Y17*'Табл.2-программа по услуге'!E15</f>
        <v>252.68900961233874</v>
      </c>
    </row>
    <row r="18" spans="1:26" ht="47.25" x14ac:dyDescent="0.25">
      <c r="A18" s="103">
        <v>10</v>
      </c>
      <c r="B18" s="209" t="str">
        <f>'Табл.1-расчет стоимости'!B21</f>
        <v>В гостях у сказки</v>
      </c>
      <c r="C18" s="210" t="s">
        <v>163</v>
      </c>
      <c r="D18" s="104">
        <v>1</v>
      </c>
      <c r="E18" s="211" t="s">
        <v>168</v>
      </c>
      <c r="F18" s="105">
        <v>21745</v>
      </c>
      <c r="G18" s="212">
        <v>0.2</v>
      </c>
      <c r="H18" s="105">
        <f>F18*G18</f>
        <v>4349</v>
      </c>
      <c r="I18" s="212"/>
      <c r="J18" s="105">
        <f t="shared" ref="J18" si="30">F18*I18</f>
        <v>0</v>
      </c>
      <c r="K18" s="105"/>
      <c r="L18" s="105"/>
      <c r="M18" s="213">
        <f t="shared" ref="M18" si="31">H18+J18+K18+L18</f>
        <v>4349</v>
      </c>
      <c r="N18" s="214">
        <v>0.15</v>
      </c>
      <c r="O18" s="105">
        <f t="shared" ref="O18" si="32">(F18+M18)*N18</f>
        <v>3914.1</v>
      </c>
      <c r="P18" s="215">
        <v>0.217</v>
      </c>
      <c r="Q18" s="105">
        <f t="shared" si="24"/>
        <v>6511.7576999999992</v>
      </c>
      <c r="R18" s="105">
        <f t="shared" ref="R18" si="33">F18+M18+O18+Q18</f>
        <v>36519.8577</v>
      </c>
      <c r="S18" s="214">
        <v>0.25</v>
      </c>
      <c r="T18" s="105">
        <f t="shared" ref="T18" si="34">IF(P18=0,F18*S18*(100%+N18),IF(P18=21.7%,F18*S18*(100%+N18)*(100%+P18)))</f>
        <v>7608.3036874999998</v>
      </c>
      <c r="U18" s="216">
        <f t="shared" si="27"/>
        <v>42170.256616040962</v>
      </c>
      <c r="V18" s="216">
        <f t="shared" ref="V18" si="35">R18*11+T18*12+U18</f>
        <v>535188.33556604094</v>
      </c>
      <c r="W18" s="217">
        <v>0.30199999999999999</v>
      </c>
      <c r="X18" s="218">
        <f t="shared" ref="X18" si="36">V18*(100%+W18)</f>
        <v>696815.21290698531</v>
      </c>
      <c r="Y18" s="104">
        <v>1150</v>
      </c>
      <c r="Z18" s="219">
        <f>X18/Y18*'Табл.2-программа по услуге'!E16</f>
        <v>252.46928003876278</v>
      </c>
    </row>
    <row r="19" spans="1:26" ht="38.25" customHeight="1" x14ac:dyDescent="0.25">
      <c r="A19" s="97" t="s">
        <v>83</v>
      </c>
      <c r="B19" s="252" t="s">
        <v>156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</row>
    <row r="20" spans="1:26" x14ac:dyDescent="0.25">
      <c r="A20" s="96" t="s">
        <v>28</v>
      </c>
      <c r="B20" s="263" t="s">
        <v>138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</row>
    <row r="21" spans="1:26" x14ac:dyDescent="0.25">
      <c r="B21" s="100"/>
    </row>
    <row r="22" spans="1:26" x14ac:dyDescent="0.25">
      <c r="B22" s="100"/>
    </row>
    <row r="29" spans="1:26" x14ac:dyDescent="0.25">
      <c r="J29" s="10" t="s">
        <v>152</v>
      </c>
    </row>
  </sheetData>
  <mergeCells count="25">
    <mergeCell ref="B19:Z19"/>
    <mergeCell ref="B20:Z20"/>
    <mergeCell ref="N4:O7"/>
    <mergeCell ref="P4:Q7"/>
    <mergeCell ref="W4:X7"/>
    <mergeCell ref="F4:F7"/>
    <mergeCell ref="M5:M7"/>
    <mergeCell ref="K5:K7"/>
    <mergeCell ref="G5:H6"/>
    <mergeCell ref="R4:R7"/>
    <mergeCell ref="U4:U7"/>
    <mergeCell ref="Z4:Z7"/>
    <mergeCell ref="B2:Z2"/>
    <mergeCell ref="A4:A7"/>
    <mergeCell ref="I5:J6"/>
    <mergeCell ref="V4:V7"/>
    <mergeCell ref="G4:M4"/>
    <mergeCell ref="B4:B7"/>
    <mergeCell ref="C4:C7"/>
    <mergeCell ref="E4:E7"/>
    <mergeCell ref="S4:T6"/>
    <mergeCell ref="L5:L7"/>
    <mergeCell ref="B3:X3"/>
    <mergeCell ref="D4:D7"/>
    <mergeCell ref="Y4:Y7"/>
  </mergeCells>
  <pageMargins left="0.31496062992125984" right="0.31496062992125984" top="0.35433070866141736" bottom="0.35433070866141736" header="0.31496062992125984" footer="0.31496062992125984"/>
  <pageSetup paperSize="9" scale="44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4"/>
  <sheetViews>
    <sheetView view="pageBreakPreview" zoomScale="85" zoomScaleNormal="85" zoomScaleSheetLayoutView="85" workbookViewId="0">
      <selection activeCell="I59" sqref="I59"/>
    </sheetView>
  </sheetViews>
  <sheetFormatPr defaultRowHeight="15.75" x14ac:dyDescent="0.25"/>
  <cols>
    <col min="1" max="1" width="5.42578125" style="9" customWidth="1"/>
    <col min="2" max="2" width="28" style="9" customWidth="1"/>
    <col min="3" max="3" width="21.28515625" style="9" customWidth="1"/>
    <col min="4" max="4" width="20.7109375" style="9" customWidth="1"/>
    <col min="5" max="5" width="9.5703125" style="9" customWidth="1"/>
    <col min="6" max="6" width="13.28515625" style="9" customWidth="1"/>
    <col min="7" max="7" width="20.140625" style="9" customWidth="1"/>
    <col min="8" max="8" width="21.85546875" style="10" customWidth="1"/>
    <col min="9" max="9" width="18.85546875" style="9" customWidth="1"/>
    <col min="10" max="10" width="18.85546875" style="10" customWidth="1"/>
    <col min="11" max="11" width="23.42578125" style="9" customWidth="1"/>
    <col min="12" max="16384" width="9.140625" style="9"/>
  </cols>
  <sheetData>
    <row r="1" spans="1:11" x14ac:dyDescent="0.25">
      <c r="K1" s="37" t="s">
        <v>95</v>
      </c>
    </row>
    <row r="2" spans="1:11" s="19" customFormat="1" x14ac:dyDescent="0.25">
      <c r="B2" s="248" t="s">
        <v>113</v>
      </c>
      <c r="C2" s="248"/>
      <c r="D2" s="248"/>
      <c r="E2" s="248"/>
      <c r="F2" s="248"/>
      <c r="G2" s="248"/>
      <c r="H2" s="248"/>
      <c r="I2" s="248"/>
      <c r="J2" s="248"/>
      <c r="K2" s="248"/>
    </row>
    <row r="3" spans="1:11" ht="16.5" thickBot="1" x14ac:dyDescent="0.3"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s="14" customFormat="1" ht="68.25" customHeight="1" x14ac:dyDescent="0.25">
      <c r="A4" s="250" t="s">
        <v>18</v>
      </c>
      <c r="B4" s="266" t="s">
        <v>106</v>
      </c>
      <c r="C4" s="264" t="s">
        <v>2</v>
      </c>
      <c r="D4" s="257" t="s">
        <v>42</v>
      </c>
      <c r="E4" s="259" t="s">
        <v>132</v>
      </c>
      <c r="F4" s="335"/>
      <c r="G4" s="260"/>
      <c r="H4" s="297" t="s">
        <v>143</v>
      </c>
      <c r="I4" s="297" t="s">
        <v>36</v>
      </c>
      <c r="J4" s="336" t="s">
        <v>117</v>
      </c>
      <c r="K4" s="338" t="s">
        <v>118</v>
      </c>
    </row>
    <row r="5" spans="1:11" s="14" customFormat="1" ht="22.5" customHeight="1" thickBot="1" x14ac:dyDescent="0.3">
      <c r="A5" s="271"/>
      <c r="B5" s="276"/>
      <c r="C5" s="277"/>
      <c r="D5" s="286"/>
      <c r="E5" s="94" t="s">
        <v>133</v>
      </c>
      <c r="F5" s="30" t="s">
        <v>69</v>
      </c>
      <c r="G5" s="30" t="s">
        <v>70</v>
      </c>
      <c r="H5" s="298"/>
      <c r="I5" s="298"/>
      <c r="J5" s="337"/>
      <c r="K5" s="339"/>
    </row>
    <row r="6" spans="1:11" s="54" customFormat="1" ht="39" customHeight="1" thickBot="1" x14ac:dyDescent="0.3">
      <c r="A6" s="117">
        <v>1</v>
      </c>
      <c r="B6" s="118">
        <v>2</v>
      </c>
      <c r="C6" s="119">
        <v>3</v>
      </c>
      <c r="D6" s="119">
        <v>4</v>
      </c>
      <c r="E6" s="119">
        <v>5</v>
      </c>
      <c r="F6" s="119">
        <v>6</v>
      </c>
      <c r="G6" s="120" t="s">
        <v>134</v>
      </c>
      <c r="H6" s="120" t="s">
        <v>135</v>
      </c>
      <c r="I6" s="120">
        <v>9</v>
      </c>
      <c r="J6" s="121" t="s">
        <v>136</v>
      </c>
      <c r="K6" s="102" t="s">
        <v>148</v>
      </c>
    </row>
    <row r="7" spans="1:11" s="54" customFormat="1" ht="15.75" customHeight="1" thickBot="1" x14ac:dyDescent="0.3">
      <c r="A7" s="306">
        <v>1</v>
      </c>
      <c r="B7" s="309" t="str">
        <f>'Табл.1-расчет стоимости'!B12</f>
        <v>Занятие хореографией</v>
      </c>
      <c r="C7" s="309" t="s">
        <v>163</v>
      </c>
      <c r="D7" s="126" t="s">
        <v>187</v>
      </c>
      <c r="E7" s="127" t="s">
        <v>142</v>
      </c>
      <c r="F7" s="127">
        <v>2</v>
      </c>
      <c r="G7" s="123">
        <f>F7*'Табл.2-программа по услуге'!I7</f>
        <v>40</v>
      </c>
      <c r="H7" s="123">
        <f>G7/'Табл.2-программа по услуге'!H7</f>
        <v>0.625</v>
      </c>
      <c r="I7" s="128">
        <v>480</v>
      </c>
      <c r="J7" s="179">
        <f t="shared" ref="J7:J9" si="0">H7*I7</f>
        <v>300</v>
      </c>
      <c r="K7" s="315">
        <f>SUM(J7:J9)</f>
        <v>690.625</v>
      </c>
    </row>
    <row r="8" spans="1:11" s="54" customFormat="1" ht="20.25" customHeight="1" x14ac:dyDescent="0.25">
      <c r="A8" s="307"/>
      <c r="B8" s="310"/>
      <c r="C8" s="310"/>
      <c r="D8" s="204" t="s">
        <v>189</v>
      </c>
      <c r="E8" s="205" t="s">
        <v>142</v>
      </c>
      <c r="F8" s="205">
        <v>1</v>
      </c>
      <c r="G8" s="123">
        <f>F8*'Табл.2-программа по услуге'!I8</f>
        <v>20</v>
      </c>
      <c r="H8" s="123">
        <f>G8/'Табл.2-программа по услуге'!H7</f>
        <v>0.3125</v>
      </c>
      <c r="I8" s="206">
        <v>560</v>
      </c>
      <c r="J8" s="179">
        <f t="shared" si="0"/>
        <v>175</v>
      </c>
      <c r="K8" s="316"/>
    </row>
    <row r="9" spans="1:11" ht="18.75" customHeight="1" thickBot="1" x14ac:dyDescent="0.3">
      <c r="A9" s="308"/>
      <c r="B9" s="311"/>
      <c r="C9" s="311"/>
      <c r="D9" s="129" t="s">
        <v>188</v>
      </c>
      <c r="E9" s="11" t="s">
        <v>142</v>
      </c>
      <c r="F9" s="11">
        <v>2</v>
      </c>
      <c r="G9" s="124">
        <f>F9*'Табл.2-программа по услуге'!I7</f>
        <v>40</v>
      </c>
      <c r="H9" s="124">
        <f>G9/'Табл.2-программа по услуге'!H7</f>
        <v>0.625</v>
      </c>
      <c r="I9" s="28">
        <v>345</v>
      </c>
      <c r="J9" s="180">
        <f t="shared" si="0"/>
        <v>215.625</v>
      </c>
      <c r="K9" s="317"/>
    </row>
    <row r="10" spans="1:11" x14ac:dyDescent="0.25">
      <c r="A10" s="318">
        <v>2</v>
      </c>
      <c r="B10" s="329" t="str">
        <f>'Табл.1-расчет стоимости'!B13</f>
        <v>Школа раннего развития</v>
      </c>
      <c r="C10" s="332" t="s">
        <v>163</v>
      </c>
      <c r="D10" s="170" t="s">
        <v>170</v>
      </c>
      <c r="E10" s="171" t="s">
        <v>142</v>
      </c>
      <c r="F10" s="171">
        <v>4</v>
      </c>
      <c r="G10" s="123">
        <f>F10*'Табл.2-программа по услуге'!I8</f>
        <v>80</v>
      </c>
      <c r="H10" s="123">
        <f>G10/'Табл.2-программа по услуге'!H8</f>
        <v>1.25</v>
      </c>
      <c r="I10" s="172">
        <v>70</v>
      </c>
      <c r="J10" s="179">
        <f>H10*I10</f>
        <v>87.5</v>
      </c>
      <c r="K10" s="326">
        <f>SUM(J10:J20)</f>
        <v>886.125</v>
      </c>
    </row>
    <row r="11" spans="1:11" x14ac:dyDescent="0.25">
      <c r="A11" s="307"/>
      <c r="B11" s="330"/>
      <c r="C11" s="333"/>
      <c r="D11" s="103" t="s">
        <v>171</v>
      </c>
      <c r="E11" s="104" t="s">
        <v>142</v>
      </c>
      <c r="F11" s="104">
        <v>4</v>
      </c>
      <c r="G11" s="105">
        <f>F11*'Табл.2-программа по услуге'!I8</f>
        <v>80</v>
      </c>
      <c r="H11" s="106">
        <f>G11/'Табл.2-программа по услуге'!H8</f>
        <v>1.25</v>
      </c>
      <c r="I11" s="107">
        <v>100</v>
      </c>
      <c r="J11" s="181">
        <f t="shared" ref="J11:J20" si="1">H11*I11</f>
        <v>125</v>
      </c>
      <c r="K11" s="327"/>
    </row>
    <row r="12" spans="1:11" x14ac:dyDescent="0.25">
      <c r="A12" s="307"/>
      <c r="B12" s="330"/>
      <c r="C12" s="333"/>
      <c r="D12" s="103" t="s">
        <v>172</v>
      </c>
      <c r="E12" s="104" t="s">
        <v>142</v>
      </c>
      <c r="F12" s="104">
        <v>4</v>
      </c>
      <c r="G12" s="105">
        <f>F12*'Табл.2-программа по услуге'!I8</f>
        <v>80</v>
      </c>
      <c r="H12" s="106">
        <f>G12/'Табл.2-программа по услуге'!H8</f>
        <v>1.25</v>
      </c>
      <c r="I12" s="107">
        <v>125</v>
      </c>
      <c r="J12" s="181">
        <f t="shared" si="1"/>
        <v>156.25</v>
      </c>
      <c r="K12" s="327"/>
    </row>
    <row r="13" spans="1:11" x14ac:dyDescent="0.25">
      <c r="A13" s="307"/>
      <c r="B13" s="330"/>
      <c r="C13" s="333"/>
      <c r="D13" s="103" t="s">
        <v>173</v>
      </c>
      <c r="E13" s="104" t="s">
        <v>142</v>
      </c>
      <c r="F13" s="104">
        <v>3</v>
      </c>
      <c r="G13" s="105">
        <f>F13*'Табл.2-программа по услуге'!I8</f>
        <v>60</v>
      </c>
      <c r="H13" s="106">
        <f>G13/'Табл.2-программа по услуге'!H8</f>
        <v>0.9375</v>
      </c>
      <c r="I13" s="107">
        <v>144</v>
      </c>
      <c r="J13" s="181">
        <f t="shared" si="1"/>
        <v>135</v>
      </c>
      <c r="K13" s="327"/>
    </row>
    <row r="14" spans="1:11" x14ac:dyDescent="0.25">
      <c r="A14" s="307"/>
      <c r="B14" s="330"/>
      <c r="C14" s="333"/>
      <c r="D14" s="103" t="s">
        <v>174</v>
      </c>
      <c r="E14" s="104" t="s">
        <v>142</v>
      </c>
      <c r="F14" s="104">
        <v>1</v>
      </c>
      <c r="G14" s="105">
        <f>F14*'Табл.2-программа по услуге'!I8</f>
        <v>20</v>
      </c>
      <c r="H14" s="106">
        <f>G14/'Табл.2-программа по услуге'!H8</f>
        <v>0.3125</v>
      </c>
      <c r="I14" s="107">
        <v>30</v>
      </c>
      <c r="J14" s="181">
        <f t="shared" si="1"/>
        <v>9.375</v>
      </c>
      <c r="K14" s="327"/>
    </row>
    <row r="15" spans="1:11" x14ac:dyDescent="0.25">
      <c r="A15" s="307"/>
      <c r="B15" s="330"/>
      <c r="C15" s="333"/>
      <c r="D15" s="103" t="s">
        <v>175</v>
      </c>
      <c r="E15" s="104" t="s">
        <v>142</v>
      </c>
      <c r="F15" s="104">
        <v>64</v>
      </c>
      <c r="G15" s="105">
        <f>F15*'Табл.2-программа по услуге'!I8</f>
        <v>1280</v>
      </c>
      <c r="H15" s="106">
        <f>G15/'Табл.2-программа по услуге'!H8</f>
        <v>20</v>
      </c>
      <c r="I15" s="107">
        <v>0.4</v>
      </c>
      <c r="J15" s="181">
        <f t="shared" si="1"/>
        <v>8</v>
      </c>
      <c r="K15" s="327"/>
    </row>
    <row r="16" spans="1:11" x14ac:dyDescent="0.25">
      <c r="A16" s="307"/>
      <c r="B16" s="330"/>
      <c r="C16" s="333"/>
      <c r="D16" s="103" t="s">
        <v>176</v>
      </c>
      <c r="E16" s="104" t="s">
        <v>142</v>
      </c>
      <c r="F16" s="104">
        <v>4</v>
      </c>
      <c r="G16" s="105">
        <f>F16*'Табл.2-программа по услуге'!I8</f>
        <v>80</v>
      </c>
      <c r="H16" s="106">
        <f>G16/'Табл.2-программа по услуге'!H8</f>
        <v>1.25</v>
      </c>
      <c r="I16" s="107">
        <v>74</v>
      </c>
      <c r="J16" s="181">
        <f t="shared" si="1"/>
        <v>92.5</v>
      </c>
      <c r="K16" s="327"/>
    </row>
    <row r="17" spans="1:11" x14ac:dyDescent="0.25">
      <c r="A17" s="307"/>
      <c r="B17" s="330"/>
      <c r="C17" s="333"/>
      <c r="D17" s="103" t="s">
        <v>177</v>
      </c>
      <c r="E17" s="104" t="s">
        <v>142</v>
      </c>
      <c r="F17" s="104">
        <v>3</v>
      </c>
      <c r="G17" s="105">
        <f>F17*'Табл.2-программа по услуге'!I8</f>
        <v>60</v>
      </c>
      <c r="H17" s="106">
        <f>G17/'Табл.2-программа по услуге'!H8</f>
        <v>0.9375</v>
      </c>
      <c r="I17" s="107">
        <v>156</v>
      </c>
      <c r="J17" s="181">
        <f t="shared" si="1"/>
        <v>146.25</v>
      </c>
      <c r="K17" s="327"/>
    </row>
    <row r="18" spans="1:11" x14ac:dyDescent="0.25">
      <c r="A18" s="307"/>
      <c r="B18" s="330"/>
      <c r="C18" s="333"/>
      <c r="D18" s="103" t="s">
        <v>178</v>
      </c>
      <c r="E18" s="104" t="s">
        <v>142</v>
      </c>
      <c r="F18" s="104">
        <v>1</v>
      </c>
      <c r="G18" s="105">
        <f>F18*'Табл.2-программа по услуге'!I8</f>
        <v>20</v>
      </c>
      <c r="H18" s="106">
        <f>G18/'Табл.2-программа по услуге'!H8</f>
        <v>0.3125</v>
      </c>
      <c r="I18" s="107">
        <v>100</v>
      </c>
      <c r="J18" s="181">
        <f>H18*I18</f>
        <v>31.25</v>
      </c>
      <c r="K18" s="327"/>
    </row>
    <row r="19" spans="1:11" x14ac:dyDescent="0.25">
      <c r="A19" s="307"/>
      <c r="B19" s="330"/>
      <c r="C19" s="333"/>
      <c r="D19" s="103" t="s">
        <v>179</v>
      </c>
      <c r="E19" s="104" t="s">
        <v>142</v>
      </c>
      <c r="F19" s="108">
        <v>3</v>
      </c>
      <c r="G19" s="105">
        <f>F19*'Табл.2-программа по услуге'!I8</f>
        <v>60</v>
      </c>
      <c r="H19" s="106">
        <f>G19/'Табл.2-программа по услуге'!H8</f>
        <v>0.9375</v>
      </c>
      <c r="I19" s="109">
        <v>16</v>
      </c>
      <c r="J19" s="181">
        <f t="shared" si="1"/>
        <v>15</v>
      </c>
      <c r="K19" s="327"/>
    </row>
    <row r="20" spans="1:11" ht="16.5" thickBot="1" x14ac:dyDescent="0.3">
      <c r="A20" s="319"/>
      <c r="B20" s="331"/>
      <c r="C20" s="334"/>
      <c r="D20" s="173" t="s">
        <v>35</v>
      </c>
      <c r="E20" s="174" t="s">
        <v>142</v>
      </c>
      <c r="F20" s="174">
        <v>4</v>
      </c>
      <c r="G20" s="124">
        <f>F20*'Табл.2-программа по услуге'!I8</f>
        <v>80</v>
      </c>
      <c r="H20" s="125">
        <f>G20/'Табл.2-программа по услуге'!H8</f>
        <v>1.25</v>
      </c>
      <c r="I20" s="175">
        <v>64</v>
      </c>
      <c r="J20" s="180">
        <f t="shared" si="1"/>
        <v>80</v>
      </c>
      <c r="K20" s="328"/>
    </row>
    <row r="21" spans="1:11" x14ac:dyDescent="0.25">
      <c r="A21" s="340">
        <v>3</v>
      </c>
      <c r="B21" s="343" t="str">
        <f>'Табл.1-расчет стоимости'!B14</f>
        <v>Подготовка к школе</v>
      </c>
      <c r="C21" s="343" t="str">
        <f>'Табл.1-расчет стоимости'!C16</f>
        <v>МАДОУ "Детский сад № 49" г.Тобольска</v>
      </c>
      <c r="D21" s="122" t="s">
        <v>170</v>
      </c>
      <c r="E21" s="108" t="s">
        <v>142</v>
      </c>
      <c r="F21" s="108">
        <v>2</v>
      </c>
      <c r="G21" s="106">
        <f>F21*'Табл.2-программа по услуге'!I9</f>
        <v>40</v>
      </c>
      <c r="H21" s="106">
        <f>G21/'Табл.2-программа по услуге'!H9</f>
        <v>1.25</v>
      </c>
      <c r="I21" s="109">
        <v>70</v>
      </c>
      <c r="J21" s="182">
        <f>H21*I21</f>
        <v>87.5</v>
      </c>
      <c r="K21" s="345">
        <f>SUM(J21:J31)</f>
        <v>928</v>
      </c>
    </row>
    <row r="22" spans="1:11" x14ac:dyDescent="0.25">
      <c r="A22" s="341"/>
      <c r="B22" s="330"/>
      <c r="C22" s="330"/>
      <c r="D22" s="103" t="s">
        <v>171</v>
      </c>
      <c r="E22" s="104" t="s">
        <v>142</v>
      </c>
      <c r="F22" s="104">
        <v>2</v>
      </c>
      <c r="G22" s="105">
        <f>F22*'Табл.2-программа по услуге'!I9</f>
        <v>40</v>
      </c>
      <c r="H22" s="105">
        <f>G22/'Табл.2-программа по услуге'!H9</f>
        <v>1.25</v>
      </c>
      <c r="I22" s="107">
        <v>100</v>
      </c>
      <c r="J22" s="181">
        <f t="shared" ref="J22:J31" si="2">H22*I22</f>
        <v>125</v>
      </c>
      <c r="K22" s="346"/>
    </row>
    <row r="23" spans="1:11" x14ac:dyDescent="0.25">
      <c r="A23" s="341"/>
      <c r="B23" s="330"/>
      <c r="C23" s="330"/>
      <c r="D23" s="103" t="s">
        <v>172</v>
      </c>
      <c r="E23" s="104" t="s">
        <v>142</v>
      </c>
      <c r="F23" s="104">
        <v>2</v>
      </c>
      <c r="G23" s="105">
        <f>F23*'Табл.2-программа по услуге'!I9</f>
        <v>40</v>
      </c>
      <c r="H23" s="105">
        <f>G23/'Табл.2-программа по услуге'!H9</f>
        <v>1.25</v>
      </c>
      <c r="I23" s="107">
        <v>125</v>
      </c>
      <c r="J23" s="181">
        <f t="shared" si="2"/>
        <v>156.25</v>
      </c>
      <c r="K23" s="346"/>
    </row>
    <row r="24" spans="1:11" x14ac:dyDescent="0.25">
      <c r="A24" s="341"/>
      <c r="B24" s="330"/>
      <c r="C24" s="330"/>
      <c r="D24" s="103" t="s">
        <v>173</v>
      </c>
      <c r="E24" s="104" t="s">
        <v>142</v>
      </c>
      <c r="F24" s="104">
        <v>2</v>
      </c>
      <c r="G24" s="105">
        <f>F24*'Табл.2-программа по услуге'!I9</f>
        <v>40</v>
      </c>
      <c r="H24" s="105">
        <f>G24/'Табл.2-программа по услуге'!H9</f>
        <v>1.25</v>
      </c>
      <c r="I24" s="107">
        <v>144</v>
      </c>
      <c r="J24" s="181">
        <f t="shared" si="2"/>
        <v>180</v>
      </c>
      <c r="K24" s="346"/>
    </row>
    <row r="25" spans="1:11" x14ac:dyDescent="0.25">
      <c r="A25" s="341"/>
      <c r="B25" s="330"/>
      <c r="C25" s="330"/>
      <c r="D25" s="103" t="s">
        <v>174</v>
      </c>
      <c r="E25" s="104" t="s">
        <v>142</v>
      </c>
      <c r="F25" s="104">
        <v>1</v>
      </c>
      <c r="G25" s="105">
        <f>F25*'Табл.2-программа по услуге'!I9</f>
        <v>20</v>
      </c>
      <c r="H25" s="105">
        <f>G25/'Табл.2-программа по услуге'!H9</f>
        <v>0.625</v>
      </c>
      <c r="I25" s="107">
        <v>30</v>
      </c>
      <c r="J25" s="181">
        <f t="shared" si="2"/>
        <v>18.75</v>
      </c>
      <c r="K25" s="346"/>
    </row>
    <row r="26" spans="1:11" x14ac:dyDescent="0.25">
      <c r="A26" s="341"/>
      <c r="B26" s="330"/>
      <c r="C26" s="330"/>
      <c r="D26" s="103" t="s">
        <v>175</v>
      </c>
      <c r="E26" s="104" t="s">
        <v>142</v>
      </c>
      <c r="F26" s="104">
        <v>32</v>
      </c>
      <c r="G26" s="105">
        <f>F26*'Табл.2-программа по услуге'!I9</f>
        <v>640</v>
      </c>
      <c r="H26" s="105">
        <f>G26/'Табл.2-программа по услуге'!H9</f>
        <v>20</v>
      </c>
      <c r="I26" s="107">
        <v>0.4</v>
      </c>
      <c r="J26" s="181">
        <f t="shared" si="2"/>
        <v>8</v>
      </c>
      <c r="K26" s="346"/>
    </row>
    <row r="27" spans="1:11" x14ac:dyDescent="0.25">
      <c r="A27" s="341"/>
      <c r="B27" s="330"/>
      <c r="C27" s="330"/>
      <c r="D27" s="103" t="s">
        <v>176</v>
      </c>
      <c r="E27" s="104" t="s">
        <v>142</v>
      </c>
      <c r="F27" s="104">
        <v>2</v>
      </c>
      <c r="G27" s="105">
        <f>F27*'Табл.2-программа по услуге'!I9</f>
        <v>40</v>
      </c>
      <c r="H27" s="105">
        <f>G27/'Табл.2-программа по услуге'!H9</f>
        <v>1.25</v>
      </c>
      <c r="I27" s="107">
        <v>74</v>
      </c>
      <c r="J27" s="181">
        <f t="shared" si="2"/>
        <v>92.5</v>
      </c>
      <c r="K27" s="346"/>
    </row>
    <row r="28" spans="1:11" x14ac:dyDescent="0.25">
      <c r="A28" s="341"/>
      <c r="B28" s="330"/>
      <c r="C28" s="330"/>
      <c r="D28" s="103" t="s">
        <v>177</v>
      </c>
      <c r="E28" s="104" t="s">
        <v>142</v>
      </c>
      <c r="F28" s="104">
        <v>1</v>
      </c>
      <c r="G28" s="105">
        <f>F28*'Табл.2-программа по услуге'!I9</f>
        <v>20</v>
      </c>
      <c r="H28" s="105">
        <f>G28/'Табл.2-программа по услуге'!H9</f>
        <v>0.625</v>
      </c>
      <c r="I28" s="107">
        <v>156</v>
      </c>
      <c r="J28" s="181">
        <f t="shared" si="2"/>
        <v>97.5</v>
      </c>
      <c r="K28" s="346"/>
    </row>
    <row r="29" spans="1:11" x14ac:dyDescent="0.25">
      <c r="A29" s="341"/>
      <c r="B29" s="330"/>
      <c r="C29" s="330"/>
      <c r="D29" s="103" t="s">
        <v>178</v>
      </c>
      <c r="E29" s="104" t="s">
        <v>142</v>
      </c>
      <c r="F29" s="104">
        <v>1</v>
      </c>
      <c r="G29" s="105">
        <f>F29*'Табл.2-программа по услуге'!I9</f>
        <v>20</v>
      </c>
      <c r="H29" s="105">
        <f>G29/'Табл.2-программа по услуге'!H9</f>
        <v>0.625</v>
      </c>
      <c r="I29" s="107">
        <v>100</v>
      </c>
      <c r="J29" s="181">
        <f t="shared" si="2"/>
        <v>62.5</v>
      </c>
      <c r="K29" s="346"/>
    </row>
    <row r="30" spans="1:11" x14ac:dyDescent="0.25">
      <c r="A30" s="341"/>
      <c r="B30" s="330"/>
      <c r="C30" s="330"/>
      <c r="D30" s="103" t="s">
        <v>179</v>
      </c>
      <c r="E30" s="104" t="s">
        <v>142</v>
      </c>
      <c r="F30" s="104">
        <v>2</v>
      </c>
      <c r="G30" s="105">
        <f>F30*'Табл.2-программа по услуге'!I9</f>
        <v>40</v>
      </c>
      <c r="H30" s="105">
        <f>G30/'Табл.2-программа по услуге'!H9</f>
        <v>1.25</v>
      </c>
      <c r="I30" s="109">
        <v>16</v>
      </c>
      <c r="J30" s="181">
        <f t="shared" si="2"/>
        <v>20</v>
      </c>
      <c r="K30" s="346"/>
    </row>
    <row r="31" spans="1:11" ht="16.5" thickBot="1" x14ac:dyDescent="0.3">
      <c r="A31" s="342"/>
      <c r="B31" s="344"/>
      <c r="C31" s="344"/>
      <c r="D31" s="110" t="s">
        <v>35</v>
      </c>
      <c r="E31" s="111" t="s">
        <v>142</v>
      </c>
      <c r="F31" s="111">
        <v>2</v>
      </c>
      <c r="G31" s="112">
        <f>F31*'Табл.2-программа по услуге'!I9</f>
        <v>40</v>
      </c>
      <c r="H31" s="112">
        <f>G31/'Табл.2-программа по услуге'!H9</f>
        <v>1.25</v>
      </c>
      <c r="I31" s="113">
        <v>64</v>
      </c>
      <c r="J31" s="183">
        <f t="shared" si="2"/>
        <v>80</v>
      </c>
      <c r="K31" s="347"/>
    </row>
    <row r="32" spans="1:11" ht="16.5" thickBot="1" x14ac:dyDescent="0.3">
      <c r="A32" s="318">
        <v>4</v>
      </c>
      <c r="B32" s="320" t="s">
        <v>166</v>
      </c>
      <c r="C32" s="323" t="s">
        <v>163</v>
      </c>
      <c r="D32" s="170" t="s">
        <v>172</v>
      </c>
      <c r="E32" s="171" t="s">
        <v>142</v>
      </c>
      <c r="F32" s="155">
        <v>2</v>
      </c>
      <c r="G32" s="157">
        <f>F32*'Табл.2-программа по услуге'!I10</f>
        <v>40</v>
      </c>
      <c r="H32" s="176">
        <f>G32/'Табл.2-программа по услуге'!H10</f>
        <v>0.625</v>
      </c>
      <c r="I32" s="176">
        <v>150</v>
      </c>
      <c r="J32" s="184">
        <f>H32*I32</f>
        <v>93.75</v>
      </c>
      <c r="K32" s="185"/>
    </row>
    <row r="33" spans="1:11" ht="16.5" thickBot="1" x14ac:dyDescent="0.3">
      <c r="A33" s="307"/>
      <c r="B33" s="321"/>
      <c r="C33" s="324"/>
      <c r="D33" s="103" t="s">
        <v>173</v>
      </c>
      <c r="E33" s="104" t="s">
        <v>142</v>
      </c>
      <c r="F33" s="111">
        <v>1</v>
      </c>
      <c r="G33" s="112">
        <f>F33*'Табл.2-программа по услуге'!I10</f>
        <v>20</v>
      </c>
      <c r="H33" s="113">
        <f>G33/'Табл.2-программа по услуге'!H10</f>
        <v>0.3125</v>
      </c>
      <c r="I33" s="113">
        <v>144</v>
      </c>
      <c r="J33" s="184">
        <f t="shared" ref="J33:J35" si="3">H33*I33</f>
        <v>45</v>
      </c>
      <c r="K33" s="186"/>
    </row>
    <row r="34" spans="1:11" ht="16.5" thickBot="1" x14ac:dyDescent="0.3">
      <c r="A34" s="307"/>
      <c r="B34" s="321"/>
      <c r="C34" s="324"/>
      <c r="D34" s="103" t="s">
        <v>179</v>
      </c>
      <c r="E34" s="104" t="s">
        <v>142</v>
      </c>
      <c r="F34" s="111">
        <v>2</v>
      </c>
      <c r="G34" s="112">
        <f>F34*'Табл.2-программа по услуге'!I10</f>
        <v>40</v>
      </c>
      <c r="H34" s="113">
        <f>G34/'Табл.2-программа по услуге'!H10</f>
        <v>0.625</v>
      </c>
      <c r="I34" s="113">
        <v>20</v>
      </c>
      <c r="J34" s="184">
        <f t="shared" si="3"/>
        <v>12.5</v>
      </c>
      <c r="K34" s="186"/>
    </row>
    <row r="35" spans="1:11" ht="16.5" thickBot="1" x14ac:dyDescent="0.3">
      <c r="A35" s="319"/>
      <c r="B35" s="322"/>
      <c r="C35" s="325"/>
      <c r="D35" s="174" t="s">
        <v>180</v>
      </c>
      <c r="E35" s="174" t="s">
        <v>142</v>
      </c>
      <c r="F35" s="124">
        <v>5</v>
      </c>
      <c r="G35" s="124">
        <f>F35*'Табл.2-программа по услуге'!I10</f>
        <v>100</v>
      </c>
      <c r="H35" s="175">
        <f>G35/'Табл.2-программа по услуге'!H10</f>
        <v>1.5625</v>
      </c>
      <c r="I35" s="124">
        <v>1830</v>
      </c>
      <c r="J35" s="184">
        <f t="shared" si="3"/>
        <v>2859.375</v>
      </c>
      <c r="K35" s="187">
        <f>SUM(J32:J35)</f>
        <v>3010.625</v>
      </c>
    </row>
    <row r="36" spans="1:11" x14ac:dyDescent="0.25">
      <c r="A36" s="318">
        <v>5</v>
      </c>
      <c r="B36" s="348" t="s">
        <v>192</v>
      </c>
      <c r="C36" s="351" t="s">
        <v>163</v>
      </c>
      <c r="D36" s="177" t="s">
        <v>193</v>
      </c>
      <c r="E36" s="171" t="s">
        <v>142</v>
      </c>
      <c r="F36" s="171">
        <v>1</v>
      </c>
      <c r="G36" s="123">
        <f>F36*'Табл.2-программа по услуге'!I11</f>
        <v>15</v>
      </c>
      <c r="H36" s="123">
        <f>G36/'Табл.2-программа по услуге'!H11</f>
        <v>0.234375</v>
      </c>
      <c r="I36" s="172">
        <v>800</v>
      </c>
      <c r="J36" s="179">
        <f>I36*H36</f>
        <v>187.5</v>
      </c>
      <c r="K36" s="326">
        <f>SUM(J36:J39)</f>
        <v>1406.25</v>
      </c>
    </row>
    <row r="37" spans="1:11" x14ac:dyDescent="0.25">
      <c r="A37" s="307"/>
      <c r="B37" s="349"/>
      <c r="C37" s="352"/>
      <c r="D37" s="130" t="s">
        <v>194</v>
      </c>
      <c r="E37" s="104" t="s">
        <v>142</v>
      </c>
      <c r="F37" s="104">
        <v>1</v>
      </c>
      <c r="G37" s="105">
        <f>F37*'Табл.2-программа по услуге'!I11</f>
        <v>15</v>
      </c>
      <c r="H37" s="105">
        <f>G37/'Табл.2-программа по услуге'!H11</f>
        <v>0.234375</v>
      </c>
      <c r="I37" s="107">
        <v>1000</v>
      </c>
      <c r="J37" s="181">
        <f t="shared" ref="J37:J39" si="4">I37*H37</f>
        <v>234.375</v>
      </c>
      <c r="K37" s="327"/>
    </row>
    <row r="38" spans="1:11" x14ac:dyDescent="0.25">
      <c r="A38" s="307"/>
      <c r="B38" s="349"/>
      <c r="C38" s="352"/>
      <c r="D38" s="130" t="s">
        <v>195</v>
      </c>
      <c r="E38" s="104" t="s">
        <v>142</v>
      </c>
      <c r="F38" s="104">
        <v>0.5</v>
      </c>
      <c r="G38" s="105">
        <f>F38*'Табл.2-программа по услуге'!I11</f>
        <v>7.5</v>
      </c>
      <c r="H38" s="105">
        <f>G38/'Табл.2-программа по услуге'!H11</f>
        <v>0.1171875</v>
      </c>
      <c r="I38" s="107">
        <v>8000</v>
      </c>
      <c r="J38" s="181">
        <f t="shared" si="4"/>
        <v>937.5</v>
      </c>
      <c r="K38" s="327"/>
    </row>
    <row r="39" spans="1:11" ht="16.5" thickBot="1" x14ac:dyDescent="0.3">
      <c r="A39" s="319"/>
      <c r="B39" s="350"/>
      <c r="C39" s="353"/>
      <c r="D39" s="178" t="s">
        <v>196</v>
      </c>
      <c r="E39" s="174" t="s">
        <v>142</v>
      </c>
      <c r="F39" s="174">
        <v>1</v>
      </c>
      <c r="G39" s="124">
        <f>F39*'Табл.2-программа по услуге'!I11</f>
        <v>15</v>
      </c>
      <c r="H39" s="124">
        <f>G39/'Табл.2-программа по услуге'!H11</f>
        <v>0.234375</v>
      </c>
      <c r="I39" s="175">
        <v>200</v>
      </c>
      <c r="J39" s="180">
        <f t="shared" si="4"/>
        <v>46.875</v>
      </c>
      <c r="K39" s="328"/>
    </row>
    <row r="40" spans="1:11" ht="16.5" thickBot="1" x14ac:dyDescent="0.3">
      <c r="A40" s="318">
        <v>6</v>
      </c>
      <c r="B40" s="329" t="str">
        <f>'Табл.1-расчет стоимости'!B17</f>
        <v>Развитие творческих способностей</v>
      </c>
      <c r="C40" s="332" t="s">
        <v>163</v>
      </c>
      <c r="D40" s="170" t="s">
        <v>170</v>
      </c>
      <c r="E40" s="171" t="s">
        <v>142</v>
      </c>
      <c r="F40" s="171">
        <v>4</v>
      </c>
      <c r="G40" s="123">
        <f>F40*'Табл.2-программа по услуге'!I12</f>
        <v>80</v>
      </c>
      <c r="H40" s="123">
        <f>G40/'Табл.2-программа по услуге'!H12</f>
        <v>1.25</v>
      </c>
      <c r="I40" s="172">
        <v>70</v>
      </c>
      <c r="J40" s="179">
        <f>H40*I40</f>
        <v>87.5</v>
      </c>
      <c r="K40" s="326">
        <f>SUM(J40:J50)</f>
        <v>884.875</v>
      </c>
    </row>
    <row r="41" spans="1:11" ht="16.5" thickBot="1" x14ac:dyDescent="0.3">
      <c r="A41" s="307"/>
      <c r="B41" s="330"/>
      <c r="C41" s="333"/>
      <c r="D41" s="103" t="s">
        <v>171</v>
      </c>
      <c r="E41" s="104" t="s">
        <v>142</v>
      </c>
      <c r="F41" s="104">
        <v>4</v>
      </c>
      <c r="G41" s="123">
        <f>F41*'Табл.2-программа по услуге'!I12</f>
        <v>80</v>
      </c>
      <c r="H41" s="123">
        <f>G41/'Табл.2-программа по услуге'!H12</f>
        <v>1.25</v>
      </c>
      <c r="I41" s="107">
        <v>100</v>
      </c>
      <c r="J41" s="181">
        <f t="shared" ref="J41:J47" si="5">H41*I41</f>
        <v>125</v>
      </c>
      <c r="K41" s="327"/>
    </row>
    <row r="42" spans="1:11" ht="16.5" thickBot="1" x14ac:dyDescent="0.3">
      <c r="A42" s="307"/>
      <c r="B42" s="330"/>
      <c r="C42" s="333"/>
      <c r="D42" s="103" t="s">
        <v>172</v>
      </c>
      <c r="E42" s="104" t="s">
        <v>142</v>
      </c>
      <c r="F42" s="104">
        <v>4</v>
      </c>
      <c r="G42" s="123">
        <f>F42*'Табл.2-программа по услуге'!I14</f>
        <v>80</v>
      </c>
      <c r="H42" s="123">
        <f>G42/'Табл.2-программа по услуге'!H12</f>
        <v>1.25</v>
      </c>
      <c r="I42" s="107">
        <v>124</v>
      </c>
      <c r="J42" s="181">
        <f t="shared" si="5"/>
        <v>155</v>
      </c>
      <c r="K42" s="327"/>
    </row>
    <row r="43" spans="1:11" ht="16.5" thickBot="1" x14ac:dyDescent="0.3">
      <c r="A43" s="307"/>
      <c r="B43" s="330"/>
      <c r="C43" s="333"/>
      <c r="D43" s="103" t="s">
        <v>173</v>
      </c>
      <c r="E43" s="104" t="s">
        <v>142</v>
      </c>
      <c r="F43" s="104">
        <v>3</v>
      </c>
      <c r="G43" s="123">
        <f>F43*'Табл.2-программа по услуге'!I12</f>
        <v>60</v>
      </c>
      <c r="H43" s="123">
        <f>G43/'Табл.2-программа по услуге'!H15</f>
        <v>0.9375</v>
      </c>
      <c r="I43" s="107">
        <v>144</v>
      </c>
      <c r="J43" s="181">
        <f t="shared" si="5"/>
        <v>135</v>
      </c>
      <c r="K43" s="327"/>
    </row>
    <row r="44" spans="1:11" ht="16.5" thickBot="1" x14ac:dyDescent="0.3">
      <c r="A44" s="307"/>
      <c r="B44" s="330"/>
      <c r="C44" s="333"/>
      <c r="D44" s="103" t="s">
        <v>174</v>
      </c>
      <c r="E44" s="104" t="s">
        <v>142</v>
      </c>
      <c r="F44" s="104">
        <v>1</v>
      </c>
      <c r="G44" s="123">
        <f>F44*'Табл.2-программа по услуге'!I12</f>
        <v>20</v>
      </c>
      <c r="H44" s="123">
        <f>G44/'Табл.2-программа по услуге'!H12</f>
        <v>0.3125</v>
      </c>
      <c r="I44" s="107">
        <v>30</v>
      </c>
      <c r="J44" s="181">
        <f t="shared" si="5"/>
        <v>9.375</v>
      </c>
      <c r="K44" s="327"/>
    </row>
    <row r="45" spans="1:11" ht="16.5" thickBot="1" x14ac:dyDescent="0.3">
      <c r="A45" s="307"/>
      <c r="B45" s="330"/>
      <c r="C45" s="333"/>
      <c r="D45" s="103" t="s">
        <v>175</v>
      </c>
      <c r="E45" s="104" t="s">
        <v>142</v>
      </c>
      <c r="F45" s="104">
        <v>64</v>
      </c>
      <c r="G45" s="123">
        <f>F45*'Табл.2-программа по услуге'!I12</f>
        <v>1280</v>
      </c>
      <c r="H45" s="123">
        <f>G45/'Табл.2-программа по услуге'!H12</f>
        <v>20</v>
      </c>
      <c r="I45" s="107">
        <v>0.4</v>
      </c>
      <c r="J45" s="181">
        <f t="shared" si="5"/>
        <v>8</v>
      </c>
      <c r="K45" s="327"/>
    </row>
    <row r="46" spans="1:11" ht="16.5" thickBot="1" x14ac:dyDescent="0.3">
      <c r="A46" s="307"/>
      <c r="B46" s="330"/>
      <c r="C46" s="333"/>
      <c r="D46" s="103" t="s">
        <v>176</v>
      </c>
      <c r="E46" s="104" t="s">
        <v>142</v>
      </c>
      <c r="F46" s="104">
        <v>4</v>
      </c>
      <c r="G46" s="123">
        <f>F46*'Табл.2-программа по услуге'!I12</f>
        <v>80</v>
      </c>
      <c r="H46" s="123">
        <f>G46/'Табл.2-программа по услуге'!H12</f>
        <v>1.25</v>
      </c>
      <c r="I46" s="107">
        <v>74</v>
      </c>
      <c r="J46" s="181">
        <f t="shared" si="5"/>
        <v>92.5</v>
      </c>
      <c r="K46" s="327"/>
    </row>
    <row r="47" spans="1:11" ht="16.5" thickBot="1" x14ac:dyDescent="0.3">
      <c r="A47" s="307"/>
      <c r="B47" s="330"/>
      <c r="C47" s="333"/>
      <c r="D47" s="103" t="s">
        <v>177</v>
      </c>
      <c r="E47" s="104" t="s">
        <v>142</v>
      </c>
      <c r="F47" s="104">
        <v>3</v>
      </c>
      <c r="G47" s="123">
        <f>F47*'Табл.2-программа по услуге'!I12</f>
        <v>60</v>
      </c>
      <c r="H47" s="123">
        <f>G47/'Табл.2-программа по услуге'!H12</f>
        <v>0.9375</v>
      </c>
      <c r="I47" s="107">
        <v>156</v>
      </c>
      <c r="J47" s="181">
        <f t="shared" si="5"/>
        <v>146.25</v>
      </c>
      <c r="K47" s="327"/>
    </row>
    <row r="48" spans="1:11" ht="16.5" thickBot="1" x14ac:dyDescent="0.3">
      <c r="A48" s="307"/>
      <c r="B48" s="330"/>
      <c r="C48" s="333"/>
      <c r="D48" s="103" t="s">
        <v>178</v>
      </c>
      <c r="E48" s="104" t="s">
        <v>142</v>
      </c>
      <c r="F48" s="104">
        <v>1</v>
      </c>
      <c r="G48" s="123">
        <f>F48*'Табл.2-программа по услуге'!I12</f>
        <v>20</v>
      </c>
      <c r="H48" s="123">
        <f>G48/'Табл.2-программа по услуге'!H12</f>
        <v>0.3125</v>
      </c>
      <c r="I48" s="107">
        <v>100</v>
      </c>
      <c r="J48" s="181">
        <f>H48*I48</f>
        <v>31.25</v>
      </c>
      <c r="K48" s="327"/>
    </row>
    <row r="49" spans="1:26" ht="16.5" thickBot="1" x14ac:dyDescent="0.3">
      <c r="A49" s="307"/>
      <c r="B49" s="330"/>
      <c r="C49" s="333"/>
      <c r="D49" s="103" t="s">
        <v>179</v>
      </c>
      <c r="E49" s="104" t="s">
        <v>142</v>
      </c>
      <c r="F49" s="108">
        <v>3</v>
      </c>
      <c r="G49" s="123">
        <f>F49*'Табл.2-программа по услуге'!I12</f>
        <v>60</v>
      </c>
      <c r="H49" s="123">
        <f>G49/'Табл.2-программа по услуге'!H12</f>
        <v>0.9375</v>
      </c>
      <c r="I49" s="109">
        <v>16</v>
      </c>
      <c r="J49" s="181">
        <f t="shared" ref="J49:J53" si="6">H49*I49</f>
        <v>15</v>
      </c>
      <c r="K49" s="327"/>
    </row>
    <row r="50" spans="1:26" ht="16.5" thickBot="1" x14ac:dyDescent="0.3">
      <c r="A50" s="319"/>
      <c r="B50" s="331"/>
      <c r="C50" s="334"/>
      <c r="D50" s="173" t="s">
        <v>35</v>
      </c>
      <c r="E50" s="174" t="s">
        <v>142</v>
      </c>
      <c r="F50" s="174">
        <v>4</v>
      </c>
      <c r="G50" s="123">
        <f>F50*'Табл.2-программа по услуге'!I12</f>
        <v>80</v>
      </c>
      <c r="H50" s="123">
        <f>G50/'Табл.2-программа по услуге'!H12</f>
        <v>1.25</v>
      </c>
      <c r="I50" s="175">
        <v>64</v>
      </c>
      <c r="J50" s="180">
        <f t="shared" si="6"/>
        <v>80</v>
      </c>
      <c r="K50" s="328"/>
    </row>
    <row r="51" spans="1:26" ht="16.5" customHeight="1" thickBot="1" x14ac:dyDescent="0.3">
      <c r="A51" s="306">
        <v>7</v>
      </c>
      <c r="B51" s="309" t="str">
        <f>'Табл.1-расчет стоимости'!B18</f>
        <v>Ранее музыкальное развитие</v>
      </c>
      <c r="C51" s="309" t="s">
        <v>163</v>
      </c>
      <c r="D51" s="126" t="s">
        <v>187</v>
      </c>
      <c r="E51" s="127" t="s">
        <v>142</v>
      </c>
      <c r="F51" s="127">
        <v>2</v>
      </c>
      <c r="G51" s="123">
        <f>F51*'Табл.2-программа по услуге'!I13</f>
        <v>40</v>
      </c>
      <c r="H51" s="123">
        <f>G51/'Табл.2-программа по услуге'!H13</f>
        <v>0.625</v>
      </c>
      <c r="I51" s="128">
        <v>455</v>
      </c>
      <c r="J51" s="179">
        <f t="shared" si="6"/>
        <v>284.375</v>
      </c>
      <c r="K51" s="312">
        <f>SUM(J51:J53)</f>
        <v>665</v>
      </c>
    </row>
    <row r="52" spans="1:26" ht="16.5" thickBot="1" x14ac:dyDescent="0.3">
      <c r="A52" s="307"/>
      <c r="B52" s="310"/>
      <c r="C52" s="310"/>
      <c r="D52" s="204" t="s">
        <v>189</v>
      </c>
      <c r="E52" s="205" t="s">
        <v>142</v>
      </c>
      <c r="F52" s="205">
        <v>1</v>
      </c>
      <c r="G52" s="123">
        <f>F52*'Табл.2-программа по услуге'!I13</f>
        <v>20</v>
      </c>
      <c r="H52" s="123">
        <f>G52/'Табл.2-программа по услуге'!H13</f>
        <v>0.3125</v>
      </c>
      <c r="I52" s="206">
        <v>540</v>
      </c>
      <c r="J52" s="179">
        <f t="shared" si="6"/>
        <v>168.75</v>
      </c>
      <c r="K52" s="313"/>
    </row>
    <row r="53" spans="1:26" ht="16.5" thickBot="1" x14ac:dyDescent="0.3">
      <c r="A53" s="308"/>
      <c r="B53" s="311"/>
      <c r="C53" s="311"/>
      <c r="D53" s="129" t="s">
        <v>188</v>
      </c>
      <c r="E53" s="11" t="s">
        <v>142</v>
      </c>
      <c r="F53" s="11">
        <v>2</v>
      </c>
      <c r="G53" s="123">
        <f>F53*'Табл.2-программа по услуге'!I13</f>
        <v>40</v>
      </c>
      <c r="H53" s="124">
        <f>G53/'Табл.2-программа по услуге'!H13</f>
        <v>0.625</v>
      </c>
      <c r="I53" s="28">
        <v>339</v>
      </c>
      <c r="J53" s="180">
        <f t="shared" si="6"/>
        <v>211.875</v>
      </c>
      <c r="K53" s="314"/>
    </row>
    <row r="54" spans="1:26" ht="48" thickBot="1" x14ac:dyDescent="0.3">
      <c r="A54" s="194">
        <v>8</v>
      </c>
      <c r="B54" s="195" t="str">
        <f>'Табл.1-расчет стоимости'!B19</f>
        <v>Занятие вокалом</v>
      </c>
      <c r="C54" s="195" t="s">
        <v>163</v>
      </c>
      <c r="D54" s="126" t="s">
        <v>204</v>
      </c>
      <c r="E54" s="127" t="s">
        <v>142</v>
      </c>
      <c r="F54" s="127">
        <v>2</v>
      </c>
      <c r="G54" s="124">
        <f>F54*'Табл.2-программа по услуге'!I14</f>
        <v>40</v>
      </c>
      <c r="H54" s="123">
        <f>G54/'Табл.2-программа по услуге'!H14</f>
        <v>0.625</v>
      </c>
      <c r="I54" s="128">
        <v>750</v>
      </c>
      <c r="J54" s="179">
        <f t="shared" ref="J54:J57" si="7">H54*I54</f>
        <v>468.75</v>
      </c>
      <c r="K54" s="222">
        <f>SUM(J54:J54)</f>
        <v>468.75</v>
      </c>
    </row>
    <row r="55" spans="1:26" ht="16.5" thickBot="1" x14ac:dyDescent="0.3">
      <c r="A55" s="306">
        <v>9</v>
      </c>
      <c r="B55" s="309" t="str">
        <f>'Табл.1-расчет стоимости'!B20</f>
        <v>Обучение игре шахматам</v>
      </c>
      <c r="C55" s="309" t="s">
        <v>163</v>
      </c>
      <c r="D55" s="126" t="s">
        <v>201</v>
      </c>
      <c r="E55" s="127" t="s">
        <v>142</v>
      </c>
      <c r="F55" s="223">
        <v>1</v>
      </c>
      <c r="G55" s="123">
        <f>F55*'Табл.2-программа по услуге'!I15</f>
        <v>20</v>
      </c>
      <c r="H55" s="123">
        <f>G55/'Табл.2-программа по услуге'!H15</f>
        <v>0.3125</v>
      </c>
      <c r="I55" s="128">
        <v>1290</v>
      </c>
      <c r="J55" s="179">
        <f t="shared" si="7"/>
        <v>403.125</v>
      </c>
      <c r="K55" s="312">
        <f t="shared" ref="K55" si="8">SUM(J55:J57)</f>
        <v>1109.375</v>
      </c>
    </row>
    <row r="56" spans="1:26" ht="16.5" thickBot="1" x14ac:dyDescent="0.3">
      <c r="A56" s="307"/>
      <c r="B56" s="310"/>
      <c r="C56" s="310"/>
      <c r="D56" s="204" t="s">
        <v>202</v>
      </c>
      <c r="E56" s="205" t="s">
        <v>142</v>
      </c>
      <c r="F56" s="224">
        <v>1</v>
      </c>
      <c r="G56" s="123">
        <v>56</v>
      </c>
      <c r="H56" s="123">
        <f>G56/'Табл.2-программа по услуге'!H15</f>
        <v>0.875</v>
      </c>
      <c r="I56" s="206">
        <v>800</v>
      </c>
      <c r="J56" s="179">
        <f t="shared" si="7"/>
        <v>700</v>
      </c>
      <c r="K56" s="313"/>
    </row>
    <row r="57" spans="1:26" ht="16.5" thickBot="1" x14ac:dyDescent="0.3">
      <c r="A57" s="308"/>
      <c r="B57" s="311"/>
      <c r="C57" s="311"/>
      <c r="D57" s="129" t="s">
        <v>179</v>
      </c>
      <c r="E57" s="11" t="s">
        <v>142</v>
      </c>
      <c r="F57" s="11">
        <v>1</v>
      </c>
      <c r="G57" s="123">
        <f>F57*'Табл.2-программа по услуге'!I15</f>
        <v>20</v>
      </c>
      <c r="H57" s="124">
        <f>G57/'Табл.2-программа по услуге'!H15</f>
        <v>0.3125</v>
      </c>
      <c r="I57" s="28">
        <v>20</v>
      </c>
      <c r="J57" s="180">
        <f t="shared" si="7"/>
        <v>6.25</v>
      </c>
      <c r="K57" s="314"/>
    </row>
    <row r="58" spans="1:26" ht="32.25" thickBot="1" x14ac:dyDescent="0.3">
      <c r="A58" s="306">
        <v>10</v>
      </c>
      <c r="B58" s="309" t="str">
        <f>'Табл.1-расчет стоимости'!B21</f>
        <v>В гостях у сказки</v>
      </c>
      <c r="C58" s="309" t="s">
        <v>163</v>
      </c>
      <c r="D58" s="126" t="s">
        <v>204</v>
      </c>
      <c r="E58" s="127" t="s">
        <v>142</v>
      </c>
      <c r="F58" s="223">
        <v>5</v>
      </c>
      <c r="G58" s="123">
        <f>F58*'Табл.2-программа по услуге'!I16</f>
        <v>100</v>
      </c>
      <c r="H58" s="123">
        <f>G58/'Табл.2-программа по услуге'!H16</f>
        <v>3.125</v>
      </c>
      <c r="I58" s="128">
        <v>210</v>
      </c>
      <c r="J58" s="179">
        <f t="shared" ref="J58:J59" si="9">H58*I58</f>
        <v>656.25</v>
      </c>
      <c r="K58" s="312">
        <f>SUM(J58:J59)</f>
        <v>1125</v>
      </c>
    </row>
    <row r="59" spans="1:26" x14ac:dyDescent="0.25">
      <c r="A59" s="307"/>
      <c r="B59" s="310"/>
      <c r="C59" s="310"/>
      <c r="D59" s="204" t="s">
        <v>207</v>
      </c>
      <c r="E59" s="205" t="s">
        <v>142</v>
      </c>
      <c r="F59" s="224">
        <v>5</v>
      </c>
      <c r="G59" s="123">
        <f>F59*'Табл.2-программа по услуге'!I16</f>
        <v>100</v>
      </c>
      <c r="H59" s="123">
        <f>G59/'Табл.2-программа по услуге'!H16</f>
        <v>3.125</v>
      </c>
      <c r="I59" s="206">
        <v>150</v>
      </c>
      <c r="J59" s="179">
        <f t="shared" si="9"/>
        <v>468.75</v>
      </c>
      <c r="K59" s="313"/>
    </row>
    <row r="60" spans="1:26" x14ac:dyDescent="0.25">
      <c r="A60" s="203"/>
      <c r="B60" s="207"/>
      <c r="C60" s="208"/>
      <c r="D60" s="220"/>
      <c r="E60" s="114"/>
      <c r="F60" s="114"/>
      <c r="G60" s="115"/>
      <c r="H60" s="115"/>
      <c r="I60" s="116"/>
      <c r="J60" s="115"/>
      <c r="K60" s="221"/>
    </row>
    <row r="62" spans="1:26" ht="73.5" customHeight="1" x14ac:dyDescent="0.25">
      <c r="A62" s="20" t="s">
        <v>28</v>
      </c>
      <c r="B62" s="252" t="s">
        <v>157</v>
      </c>
      <c r="C62" s="252"/>
      <c r="D62" s="252"/>
      <c r="E62" s="252"/>
      <c r="F62" s="252"/>
      <c r="G62" s="252"/>
      <c r="H62" s="252"/>
      <c r="I62" s="252"/>
      <c r="J62" s="252"/>
      <c r="K62" s="252"/>
    </row>
    <row r="63" spans="1:26" x14ac:dyDescent="0.25">
      <c r="A63" s="20"/>
      <c r="B63" s="263"/>
      <c r="C63" s="263"/>
      <c r="D63" s="263"/>
      <c r="E63" s="263"/>
      <c r="F63" s="263"/>
      <c r="G63" s="263"/>
      <c r="H63" s="263"/>
      <c r="I63" s="263"/>
      <c r="J63" s="263"/>
      <c r="K63" s="263"/>
    </row>
    <row r="64" spans="1:26" x14ac:dyDescent="0.25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</row>
  </sheetData>
  <mergeCells count="49">
    <mergeCell ref="B64:Z64"/>
    <mergeCell ref="A21:A31"/>
    <mergeCell ref="B21:B31"/>
    <mergeCell ref="B62:K62"/>
    <mergeCell ref="C21:C31"/>
    <mergeCell ref="B63:K63"/>
    <mergeCell ref="K21:K31"/>
    <mergeCell ref="K36:K39"/>
    <mergeCell ref="B36:B39"/>
    <mergeCell ref="C36:C39"/>
    <mergeCell ref="A36:A39"/>
    <mergeCell ref="A40:A50"/>
    <mergeCell ref="B40:B50"/>
    <mergeCell ref="C40:C50"/>
    <mergeCell ref="K40:K50"/>
    <mergeCell ref="A51:A53"/>
    <mergeCell ref="B2:K2"/>
    <mergeCell ref="B3:K3"/>
    <mergeCell ref="H4:H5"/>
    <mergeCell ref="A4:A5"/>
    <mergeCell ref="B4:B5"/>
    <mergeCell ref="C4:C5"/>
    <mergeCell ref="D4:D5"/>
    <mergeCell ref="E4:G4"/>
    <mergeCell ref="I4:I5"/>
    <mergeCell ref="J4:J5"/>
    <mergeCell ref="K4:K5"/>
    <mergeCell ref="B51:B53"/>
    <mergeCell ref="C51:C53"/>
    <mergeCell ref="K51:K53"/>
    <mergeCell ref="K7:K9"/>
    <mergeCell ref="A7:A9"/>
    <mergeCell ref="B7:B9"/>
    <mergeCell ref="C7:C9"/>
    <mergeCell ref="A32:A35"/>
    <mergeCell ref="B32:B35"/>
    <mergeCell ref="C32:C35"/>
    <mergeCell ref="K10:K20"/>
    <mergeCell ref="A10:A20"/>
    <mergeCell ref="B10:B20"/>
    <mergeCell ref="C10:C20"/>
    <mergeCell ref="A58:A59"/>
    <mergeCell ref="B58:B59"/>
    <mergeCell ref="C58:C59"/>
    <mergeCell ref="K58:K59"/>
    <mergeCell ref="A55:A57"/>
    <mergeCell ref="B55:B57"/>
    <mergeCell ref="C55:C57"/>
    <mergeCell ref="K55:K57"/>
  </mergeCells>
  <pageMargins left="0.31496062992125984" right="0.31496062992125984" top="0.35433070866141736" bottom="0.35433070866141736" header="0.31496062992125984" footer="0.31496062992125984"/>
  <pageSetup paperSize="9" scale="70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1"/>
  <sheetViews>
    <sheetView view="pageBreakPreview" zoomScale="85" zoomScaleNormal="85" zoomScaleSheetLayoutView="85" workbookViewId="0">
      <selection activeCell="K28" sqref="K28:K29"/>
    </sheetView>
  </sheetViews>
  <sheetFormatPr defaultRowHeight="15.75" x14ac:dyDescent="0.25"/>
  <cols>
    <col min="1" max="1" width="5.42578125" style="9" customWidth="1"/>
    <col min="2" max="2" width="30.42578125" style="9" customWidth="1"/>
    <col min="3" max="3" width="21.28515625" style="9" customWidth="1"/>
    <col min="4" max="4" width="29.5703125" style="9" customWidth="1"/>
    <col min="5" max="5" width="18.140625" style="9" customWidth="1"/>
    <col min="6" max="6" width="18" style="10" customWidth="1"/>
    <col min="7" max="7" width="18.28515625" style="9" customWidth="1"/>
    <col min="8" max="8" width="21.42578125" style="10" customWidth="1"/>
    <col min="9" max="9" width="16.140625" style="9" customWidth="1"/>
    <col min="10" max="10" width="17.28515625" style="10" customWidth="1"/>
    <col min="11" max="11" width="23.140625" style="9" customWidth="1"/>
    <col min="12" max="16384" width="9.140625" style="9"/>
  </cols>
  <sheetData>
    <row r="1" spans="1:11" x14ac:dyDescent="0.25">
      <c r="K1" s="37" t="s">
        <v>94</v>
      </c>
    </row>
    <row r="2" spans="1:11" s="19" customFormat="1" x14ac:dyDescent="0.25">
      <c r="B2" s="248" t="s">
        <v>119</v>
      </c>
      <c r="C2" s="248"/>
      <c r="D2" s="248"/>
      <c r="E2" s="248"/>
      <c r="F2" s="248"/>
      <c r="G2" s="248"/>
      <c r="H2" s="248"/>
      <c r="I2" s="248"/>
      <c r="J2" s="248"/>
      <c r="K2" s="248"/>
    </row>
    <row r="3" spans="1:11" ht="16.5" thickBot="1" x14ac:dyDescent="0.3"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s="14" customFormat="1" ht="70.5" customHeight="1" thickBot="1" x14ac:dyDescent="0.3">
      <c r="A4" s="50" t="s">
        <v>18</v>
      </c>
      <c r="B4" s="42" t="s">
        <v>106</v>
      </c>
      <c r="C4" s="43" t="s">
        <v>2</v>
      </c>
      <c r="D4" s="43" t="s">
        <v>38</v>
      </c>
      <c r="E4" s="44" t="s">
        <v>75</v>
      </c>
      <c r="F4" s="45" t="s">
        <v>39</v>
      </c>
      <c r="G4" s="46" t="s">
        <v>40</v>
      </c>
      <c r="H4" s="47" t="s">
        <v>120</v>
      </c>
      <c r="I4" s="47" t="s">
        <v>46</v>
      </c>
      <c r="J4" s="48" t="s">
        <v>43</v>
      </c>
      <c r="K4" s="49" t="s">
        <v>121</v>
      </c>
    </row>
    <row r="5" spans="1:11" s="54" customFormat="1" ht="48" customHeight="1" thickBot="1" x14ac:dyDescent="0.3">
      <c r="A5" s="51">
        <v>1</v>
      </c>
      <c r="B5" s="52">
        <v>2</v>
      </c>
      <c r="C5" s="52">
        <v>3</v>
      </c>
      <c r="D5" s="52">
        <v>4</v>
      </c>
      <c r="E5" s="52">
        <v>5</v>
      </c>
      <c r="F5" s="52" t="s">
        <v>44</v>
      </c>
      <c r="G5" s="52">
        <v>7</v>
      </c>
      <c r="H5" s="52" t="s">
        <v>145</v>
      </c>
      <c r="I5" s="52">
        <v>9</v>
      </c>
      <c r="J5" s="53" t="s">
        <v>144</v>
      </c>
      <c r="K5" s="60" t="s">
        <v>148</v>
      </c>
    </row>
    <row r="6" spans="1:11" ht="110.25" x14ac:dyDescent="0.25">
      <c r="A6" s="354">
        <v>1</v>
      </c>
      <c r="B6" s="363" t="s">
        <v>162</v>
      </c>
      <c r="C6" s="366" t="str">
        <f>'Табл.1-расчет стоимости'!C12</f>
        <v>МАДОУ "Детский сад № 49" г.Тобольска</v>
      </c>
      <c r="D6" s="225" t="s">
        <v>182</v>
      </c>
      <c r="E6" s="226">
        <v>180</v>
      </c>
      <c r="F6" s="227">
        <f>100%/E6*12</f>
        <v>6.6666666666666666E-2</v>
      </c>
      <c r="G6" s="172">
        <v>16900</v>
      </c>
      <c r="H6" s="123">
        <f>'Табл.2-программа по услуге'!E7</f>
        <v>0.33333333333333331</v>
      </c>
      <c r="I6" s="228">
        <v>14</v>
      </c>
      <c r="J6" s="179">
        <f>F6*G6/I6*H6</f>
        <v>26.825396825396826</v>
      </c>
      <c r="K6" s="360">
        <f>SUM(J6:J9)</f>
        <v>902.2968253968254</v>
      </c>
    </row>
    <row r="7" spans="1:11" ht="78.75" x14ac:dyDescent="0.25">
      <c r="A7" s="362"/>
      <c r="B7" s="364"/>
      <c r="C7" s="367"/>
      <c r="D7" s="198" t="s">
        <v>183</v>
      </c>
      <c r="E7" s="229">
        <v>60</v>
      </c>
      <c r="F7" s="212">
        <f t="shared" ref="F7:F14" si="0">100%/E7*12</f>
        <v>0.2</v>
      </c>
      <c r="G7" s="107">
        <v>71999</v>
      </c>
      <c r="H7" s="105">
        <f>'Табл.2-программа по услуге'!E7</f>
        <v>0.33333333333333331</v>
      </c>
      <c r="I7" s="230">
        <v>14</v>
      </c>
      <c r="J7" s="181">
        <f>F7*G7/I7*H7</f>
        <v>342.85238095238094</v>
      </c>
      <c r="K7" s="369"/>
    </row>
    <row r="8" spans="1:11" ht="31.5" x14ac:dyDescent="0.25">
      <c r="A8" s="362"/>
      <c r="B8" s="364"/>
      <c r="C8" s="367"/>
      <c r="D8" s="198" t="s">
        <v>184</v>
      </c>
      <c r="E8" s="229">
        <v>120</v>
      </c>
      <c r="F8" s="212">
        <f t="shared" si="0"/>
        <v>0.1</v>
      </c>
      <c r="G8" s="107">
        <v>25000</v>
      </c>
      <c r="H8" s="105">
        <f>'Табл.2-программа по услуге'!E7</f>
        <v>0.33333333333333331</v>
      </c>
      <c r="I8" s="230">
        <v>14</v>
      </c>
      <c r="J8" s="181">
        <f t="shared" ref="J8:J14" si="1">F8*G8/I8*H8</f>
        <v>59.523809523809526</v>
      </c>
      <c r="K8" s="369"/>
    </row>
    <row r="9" spans="1:11" ht="64.5" customHeight="1" thickBot="1" x14ac:dyDescent="0.3">
      <c r="A9" s="355"/>
      <c r="B9" s="365"/>
      <c r="C9" s="368"/>
      <c r="D9" s="199" t="s">
        <v>185</v>
      </c>
      <c r="E9" s="231">
        <v>60</v>
      </c>
      <c r="F9" s="232">
        <f t="shared" si="0"/>
        <v>0.2</v>
      </c>
      <c r="G9" s="175">
        <v>99350</v>
      </c>
      <c r="H9" s="124">
        <f>'Табл.2-программа по услуге'!E7</f>
        <v>0.33333333333333331</v>
      </c>
      <c r="I9" s="233">
        <v>14</v>
      </c>
      <c r="J9" s="180">
        <f t="shared" si="1"/>
        <v>473.09523809523807</v>
      </c>
      <c r="K9" s="361"/>
    </row>
    <row r="10" spans="1:11" ht="25.5" customHeight="1" x14ac:dyDescent="0.25">
      <c r="A10" s="354">
        <v>2</v>
      </c>
      <c r="B10" s="356" t="str">
        <f>'Табл.1-расчет стоимости'!B13</f>
        <v>Школа раннего развития</v>
      </c>
      <c r="C10" s="358" t="s">
        <v>163</v>
      </c>
      <c r="D10" s="197" t="s">
        <v>186</v>
      </c>
      <c r="E10" s="226">
        <v>60</v>
      </c>
      <c r="F10" s="227">
        <f t="shared" si="0"/>
        <v>0.2</v>
      </c>
      <c r="G10" s="172">
        <v>4366</v>
      </c>
      <c r="H10" s="123">
        <f>'Табл.2-программа по услуге'!E8</f>
        <v>0.41666666666666669</v>
      </c>
      <c r="I10" s="228">
        <v>16</v>
      </c>
      <c r="J10" s="179">
        <f t="shared" si="1"/>
        <v>22.739583333333336</v>
      </c>
      <c r="K10" s="360">
        <f>SUM(J10:J11)</f>
        <v>540.18750000000011</v>
      </c>
    </row>
    <row r="11" spans="1:11" ht="50.25" customHeight="1" thickBot="1" x14ac:dyDescent="0.3">
      <c r="A11" s="355"/>
      <c r="B11" s="357"/>
      <c r="C11" s="359"/>
      <c r="D11" s="199" t="s">
        <v>185</v>
      </c>
      <c r="E11" s="231">
        <v>60</v>
      </c>
      <c r="F11" s="232">
        <f t="shared" si="0"/>
        <v>0.2</v>
      </c>
      <c r="G11" s="175">
        <v>99350</v>
      </c>
      <c r="H11" s="124">
        <f>'Табл.2-программа по услуге'!E8</f>
        <v>0.41666666666666669</v>
      </c>
      <c r="I11" s="233">
        <v>16</v>
      </c>
      <c r="J11" s="180">
        <f t="shared" si="1"/>
        <v>517.44791666666674</v>
      </c>
      <c r="K11" s="361"/>
    </row>
    <row r="12" spans="1:11" ht="25.5" customHeight="1" x14ac:dyDescent="0.25">
      <c r="A12" s="354">
        <v>3</v>
      </c>
      <c r="B12" s="356" t="str">
        <f>'Табл.1-расчет стоимости'!B14</f>
        <v>Подготовка к школе</v>
      </c>
      <c r="C12" s="370" t="s">
        <v>163</v>
      </c>
      <c r="D12" s="197" t="s">
        <v>186</v>
      </c>
      <c r="E12" s="226">
        <v>60</v>
      </c>
      <c r="F12" s="227">
        <f t="shared" si="0"/>
        <v>0.2</v>
      </c>
      <c r="G12" s="172">
        <v>4366</v>
      </c>
      <c r="H12" s="123">
        <f>'Табл.2-программа по услуге'!E9</f>
        <v>0.41666666666666669</v>
      </c>
      <c r="I12" s="228">
        <v>16</v>
      </c>
      <c r="J12" s="179">
        <f t="shared" si="1"/>
        <v>22.739583333333336</v>
      </c>
      <c r="K12" s="360">
        <f>SUM(J12:J13)</f>
        <v>540.18750000000011</v>
      </c>
    </row>
    <row r="13" spans="1:11" ht="72" customHeight="1" thickBot="1" x14ac:dyDescent="0.3">
      <c r="A13" s="355"/>
      <c r="B13" s="357"/>
      <c r="C13" s="371"/>
      <c r="D13" s="199" t="s">
        <v>185</v>
      </c>
      <c r="E13" s="231">
        <v>60</v>
      </c>
      <c r="F13" s="232">
        <f t="shared" si="0"/>
        <v>0.2</v>
      </c>
      <c r="G13" s="175">
        <v>99350</v>
      </c>
      <c r="H13" s="124">
        <f>'Табл.2-программа по услуге'!E9</f>
        <v>0.41666666666666669</v>
      </c>
      <c r="I13" s="233">
        <v>16</v>
      </c>
      <c r="J13" s="180">
        <f t="shared" si="1"/>
        <v>517.44791666666674</v>
      </c>
      <c r="K13" s="361"/>
    </row>
    <row r="14" spans="1:11" ht="52.5" customHeight="1" thickBot="1" x14ac:dyDescent="0.3">
      <c r="A14" s="131">
        <v>4</v>
      </c>
      <c r="B14" s="234" t="str">
        <f>'Табл.1-расчет стоимости'!B15</f>
        <v>Обучение иностранному языку (английский язык)</v>
      </c>
      <c r="C14" s="235" t="s">
        <v>163</v>
      </c>
      <c r="D14" s="236" t="s">
        <v>186</v>
      </c>
      <c r="E14" s="237">
        <v>60</v>
      </c>
      <c r="F14" s="145">
        <f t="shared" si="0"/>
        <v>0.2</v>
      </c>
      <c r="G14" s="238">
        <v>4366</v>
      </c>
      <c r="H14" s="144">
        <f>'Табл.2-программа по услуге'!E10</f>
        <v>0.41666666666666669</v>
      </c>
      <c r="I14" s="239">
        <v>16</v>
      </c>
      <c r="J14" s="240">
        <f t="shared" si="1"/>
        <v>22.739583333333336</v>
      </c>
      <c r="K14" s="241">
        <f>J14</f>
        <v>22.739583333333336</v>
      </c>
    </row>
    <row r="15" spans="1:11" ht="52.5" customHeight="1" thickBot="1" x14ac:dyDescent="0.3">
      <c r="A15" s="131">
        <v>5</v>
      </c>
      <c r="B15" s="234" t="str">
        <f>'Табл.1-расчет стоимости'!B16</f>
        <v>Оказание физкультурно-оздоровительных услуг (Плыви малыш)</v>
      </c>
      <c r="C15" s="235" t="s">
        <v>163</v>
      </c>
      <c r="D15" s="236" t="s">
        <v>197</v>
      </c>
      <c r="E15" s="237">
        <v>120</v>
      </c>
      <c r="F15" s="145">
        <f>100%/E15*12</f>
        <v>0.1</v>
      </c>
      <c r="G15" s="238">
        <v>215000</v>
      </c>
      <c r="H15" s="144">
        <f>'Табл.2-программа по услуге'!E11</f>
        <v>0.33333333333333331</v>
      </c>
      <c r="I15" s="239">
        <v>168</v>
      </c>
      <c r="J15" s="240">
        <f>F15*G15/I15*H15</f>
        <v>42.658730158730158</v>
      </c>
      <c r="K15" s="241">
        <f>SUM(J15)</f>
        <v>42.658730158730158</v>
      </c>
    </row>
    <row r="16" spans="1:11" ht="52.5" customHeight="1" x14ac:dyDescent="0.25">
      <c r="A16" s="354">
        <v>6</v>
      </c>
      <c r="B16" s="356" t="str">
        <f>'Табл.1-расчет стоимости'!B17</f>
        <v>Развитие творческих способностей</v>
      </c>
      <c r="C16" s="370" t="s">
        <v>163</v>
      </c>
      <c r="D16" s="197" t="s">
        <v>186</v>
      </c>
      <c r="E16" s="226">
        <v>60</v>
      </c>
      <c r="F16" s="227">
        <f t="shared" ref="F16:F17" si="2">100%/E16*12</f>
        <v>0.2</v>
      </c>
      <c r="G16" s="172">
        <v>4366</v>
      </c>
      <c r="H16" s="123">
        <f>'Табл.2-программа по услуге'!E13</f>
        <v>0.41666666666666669</v>
      </c>
      <c r="I16" s="228">
        <v>16</v>
      </c>
      <c r="J16" s="179">
        <f t="shared" ref="J16:J17" si="3">F16*G16/I16*H16</f>
        <v>22.739583333333336</v>
      </c>
      <c r="K16" s="360">
        <f>SUM(J16:J17)</f>
        <v>540.18750000000011</v>
      </c>
    </row>
    <row r="17" spans="1:11" ht="52.5" customHeight="1" thickBot="1" x14ac:dyDescent="0.3">
      <c r="A17" s="355"/>
      <c r="B17" s="357"/>
      <c r="C17" s="371"/>
      <c r="D17" s="199" t="s">
        <v>185</v>
      </c>
      <c r="E17" s="231">
        <v>60</v>
      </c>
      <c r="F17" s="232">
        <f t="shared" si="2"/>
        <v>0.2</v>
      </c>
      <c r="G17" s="175">
        <v>99350</v>
      </c>
      <c r="H17" s="124">
        <f>'Табл.2-программа по услуге'!E13</f>
        <v>0.41666666666666669</v>
      </c>
      <c r="I17" s="233">
        <v>16</v>
      </c>
      <c r="J17" s="180">
        <f t="shared" si="3"/>
        <v>517.44791666666674</v>
      </c>
      <c r="K17" s="361"/>
    </row>
    <row r="18" spans="1:11" ht="52.5" customHeight="1" x14ac:dyDescent="0.25">
      <c r="A18" s="354">
        <v>7</v>
      </c>
      <c r="B18" s="363" t="str">
        <f>'Табл.1-расчет стоимости'!B18</f>
        <v>Ранее музыкальное развитие</v>
      </c>
      <c r="C18" s="366">
        <f>'Табл.1-расчет стоимости'!C24</f>
        <v>0</v>
      </c>
      <c r="D18" s="225" t="s">
        <v>182</v>
      </c>
      <c r="E18" s="226">
        <v>180</v>
      </c>
      <c r="F18" s="227">
        <f>100%/E18*12</f>
        <v>6.6666666666666666E-2</v>
      </c>
      <c r="G18" s="172">
        <v>16900</v>
      </c>
      <c r="H18" s="123">
        <f>'Табл.2-программа по услуге'!E14</f>
        <v>0.41666666666666669</v>
      </c>
      <c r="I18" s="228">
        <v>14</v>
      </c>
      <c r="J18" s="179">
        <f>F18*G18/I18*H18</f>
        <v>33.531746031746039</v>
      </c>
      <c r="K18" s="360">
        <f>SUM(J18:J21)</f>
        <v>1127.8710317460318</v>
      </c>
    </row>
    <row r="19" spans="1:11" ht="52.5" customHeight="1" x14ac:dyDescent="0.25">
      <c r="A19" s="362"/>
      <c r="B19" s="364"/>
      <c r="C19" s="367"/>
      <c r="D19" s="198" t="s">
        <v>183</v>
      </c>
      <c r="E19" s="229">
        <v>60</v>
      </c>
      <c r="F19" s="212">
        <f t="shared" ref="F19:F21" si="4">100%/E19*12</f>
        <v>0.2</v>
      </c>
      <c r="G19" s="107">
        <v>71999</v>
      </c>
      <c r="H19" s="105">
        <f>'Табл.2-программа по услуге'!E14</f>
        <v>0.41666666666666669</v>
      </c>
      <c r="I19" s="230">
        <v>14</v>
      </c>
      <c r="J19" s="181">
        <f>F19*G19/I19*H19</f>
        <v>428.56547619047626</v>
      </c>
      <c r="K19" s="369"/>
    </row>
    <row r="20" spans="1:11" ht="52.5" customHeight="1" x14ac:dyDescent="0.25">
      <c r="A20" s="362"/>
      <c r="B20" s="364"/>
      <c r="C20" s="367"/>
      <c r="D20" s="198" t="s">
        <v>184</v>
      </c>
      <c r="E20" s="229">
        <v>120</v>
      </c>
      <c r="F20" s="212">
        <f t="shared" si="4"/>
        <v>0.1</v>
      </c>
      <c r="G20" s="107">
        <v>25000</v>
      </c>
      <c r="H20" s="105">
        <f>'Табл.2-программа по услуге'!E14</f>
        <v>0.41666666666666669</v>
      </c>
      <c r="I20" s="230">
        <v>14</v>
      </c>
      <c r="J20" s="181">
        <f t="shared" ref="J20:J21" si="5">F20*G20/I20*H20</f>
        <v>74.404761904761912</v>
      </c>
      <c r="K20" s="369"/>
    </row>
    <row r="21" spans="1:11" ht="52.5" customHeight="1" thickBot="1" x14ac:dyDescent="0.3">
      <c r="A21" s="355"/>
      <c r="B21" s="365"/>
      <c r="C21" s="368"/>
      <c r="D21" s="199" t="s">
        <v>185</v>
      </c>
      <c r="E21" s="231">
        <v>60</v>
      </c>
      <c r="F21" s="232">
        <f t="shared" si="4"/>
        <v>0.2</v>
      </c>
      <c r="G21" s="175">
        <v>99350</v>
      </c>
      <c r="H21" s="124">
        <f>'Табл.2-программа по услуге'!E14</f>
        <v>0.41666666666666669</v>
      </c>
      <c r="I21" s="233">
        <v>14</v>
      </c>
      <c r="J21" s="180">
        <f t="shared" si="5"/>
        <v>591.36904761904759</v>
      </c>
      <c r="K21" s="361"/>
    </row>
    <row r="22" spans="1:11" ht="52.5" customHeight="1" x14ac:dyDescent="0.25">
      <c r="A22" s="354">
        <v>8</v>
      </c>
      <c r="B22" s="363" t="str">
        <f>'Табл.1-расчет стоимости'!B19</f>
        <v>Занятие вокалом</v>
      </c>
      <c r="C22" s="366">
        <f>'Табл.1-расчет стоимости'!C28</f>
        <v>0</v>
      </c>
      <c r="D22" s="225" t="s">
        <v>182</v>
      </c>
      <c r="E22" s="226">
        <v>180</v>
      </c>
      <c r="F22" s="227">
        <f>100%/E22*12</f>
        <v>6.6666666666666666E-2</v>
      </c>
      <c r="G22" s="172">
        <v>16900</v>
      </c>
      <c r="H22" s="123">
        <f>'Табл.2-программа по услуге'!E15</f>
        <v>0.41666666666666669</v>
      </c>
      <c r="I22" s="228">
        <v>14</v>
      </c>
      <c r="J22" s="179">
        <f>F22*G22/I22*H22</f>
        <v>33.531746031746039</v>
      </c>
      <c r="K22" s="360">
        <f>SUM(J22:J25)</f>
        <v>1127.8710317460318</v>
      </c>
    </row>
    <row r="23" spans="1:11" ht="52.5" customHeight="1" x14ac:dyDescent="0.25">
      <c r="A23" s="362"/>
      <c r="B23" s="364"/>
      <c r="C23" s="367"/>
      <c r="D23" s="198" t="s">
        <v>183</v>
      </c>
      <c r="E23" s="229">
        <v>60</v>
      </c>
      <c r="F23" s="212">
        <f t="shared" ref="F23:F27" si="6">100%/E23*12</f>
        <v>0.2</v>
      </c>
      <c r="G23" s="107">
        <v>71999</v>
      </c>
      <c r="H23" s="105">
        <f>'Табл.2-программа по услуге'!E15</f>
        <v>0.41666666666666669</v>
      </c>
      <c r="I23" s="230">
        <v>14</v>
      </c>
      <c r="J23" s="181">
        <f>F23*G23/I23*H23</f>
        <v>428.56547619047626</v>
      </c>
      <c r="K23" s="369"/>
    </row>
    <row r="24" spans="1:11" ht="52.5" customHeight="1" x14ac:dyDescent="0.25">
      <c r="A24" s="362"/>
      <c r="B24" s="364"/>
      <c r="C24" s="367"/>
      <c r="D24" s="198" t="s">
        <v>203</v>
      </c>
      <c r="E24" s="229">
        <v>120</v>
      </c>
      <c r="F24" s="212">
        <f t="shared" si="6"/>
        <v>0.1</v>
      </c>
      <c r="G24" s="107">
        <v>25000</v>
      </c>
      <c r="H24" s="105">
        <f>'Табл.2-программа по услуге'!E15</f>
        <v>0.41666666666666669</v>
      </c>
      <c r="I24" s="230">
        <v>14</v>
      </c>
      <c r="J24" s="181">
        <f t="shared" ref="J24:J27" si="7">F24*G24/I24*H24</f>
        <v>74.404761904761912</v>
      </c>
      <c r="K24" s="369"/>
    </row>
    <row r="25" spans="1:11" ht="52.5" customHeight="1" thickBot="1" x14ac:dyDescent="0.3">
      <c r="A25" s="355"/>
      <c r="B25" s="365"/>
      <c r="C25" s="368"/>
      <c r="D25" s="199" t="s">
        <v>185</v>
      </c>
      <c r="E25" s="231">
        <v>60</v>
      </c>
      <c r="F25" s="232">
        <f t="shared" si="6"/>
        <v>0.2</v>
      </c>
      <c r="G25" s="175">
        <v>99350</v>
      </c>
      <c r="H25" s="124">
        <f>'Табл.2-программа по услуге'!E15</f>
        <v>0.41666666666666669</v>
      </c>
      <c r="I25" s="233">
        <v>14</v>
      </c>
      <c r="J25" s="180">
        <f t="shared" si="7"/>
        <v>591.36904761904759</v>
      </c>
      <c r="K25" s="361"/>
    </row>
    <row r="26" spans="1:11" ht="52.5" customHeight="1" x14ac:dyDescent="0.25">
      <c r="A26" s="354">
        <v>9</v>
      </c>
      <c r="B26" s="356" t="str">
        <f>'Табл.1-расчет стоимости'!B20</f>
        <v>Обучение игре шахматам</v>
      </c>
      <c r="C26" s="358" t="s">
        <v>163</v>
      </c>
      <c r="D26" s="197" t="s">
        <v>186</v>
      </c>
      <c r="E26" s="226">
        <v>60</v>
      </c>
      <c r="F26" s="227">
        <f t="shared" si="6"/>
        <v>0.2</v>
      </c>
      <c r="G26" s="172">
        <v>4366</v>
      </c>
      <c r="H26" s="123">
        <f>'Табл.2-программа по услуге'!E15</f>
        <v>0.41666666666666669</v>
      </c>
      <c r="I26" s="228">
        <v>16</v>
      </c>
      <c r="J26" s="179">
        <f t="shared" si="7"/>
        <v>22.739583333333336</v>
      </c>
      <c r="K26" s="360">
        <f>SUM(J26:J27)</f>
        <v>540.18750000000011</v>
      </c>
    </row>
    <row r="27" spans="1:11" ht="52.5" customHeight="1" thickBot="1" x14ac:dyDescent="0.3">
      <c r="A27" s="355"/>
      <c r="B27" s="357"/>
      <c r="C27" s="359"/>
      <c r="D27" s="199" t="s">
        <v>185</v>
      </c>
      <c r="E27" s="231">
        <v>60</v>
      </c>
      <c r="F27" s="232">
        <f t="shared" si="6"/>
        <v>0.2</v>
      </c>
      <c r="G27" s="175">
        <v>99350</v>
      </c>
      <c r="H27" s="124">
        <f>'Табл.2-программа по услуге'!E15</f>
        <v>0.41666666666666669</v>
      </c>
      <c r="I27" s="233">
        <v>16</v>
      </c>
      <c r="J27" s="180">
        <f t="shared" si="7"/>
        <v>517.44791666666674</v>
      </c>
      <c r="K27" s="361"/>
    </row>
    <row r="28" spans="1:11" ht="52.5" customHeight="1" x14ac:dyDescent="0.25">
      <c r="A28" s="354">
        <v>10</v>
      </c>
      <c r="B28" s="356" t="str">
        <f>'Табл.1-расчет стоимости'!B21</f>
        <v>В гостях у сказки</v>
      </c>
      <c r="C28" s="358" t="s">
        <v>163</v>
      </c>
      <c r="D28" s="242" t="s">
        <v>186</v>
      </c>
      <c r="E28" s="226">
        <v>60</v>
      </c>
      <c r="F28" s="227">
        <f t="shared" ref="F28:F29" si="8">100%/E28*12</f>
        <v>0.2</v>
      </c>
      <c r="G28" s="172">
        <v>4366</v>
      </c>
      <c r="H28" s="123">
        <f>'Табл.2-программа по услуге'!E16</f>
        <v>0.41666666666666669</v>
      </c>
      <c r="I28" s="228">
        <v>16</v>
      </c>
      <c r="J28" s="179">
        <f t="shared" ref="J28:J29" si="9">F28*G28/I28*H28</f>
        <v>22.739583333333336</v>
      </c>
      <c r="K28" s="360">
        <f>SUM(J28:J29)</f>
        <v>540.18750000000011</v>
      </c>
    </row>
    <row r="29" spans="1:11" ht="52.5" customHeight="1" thickBot="1" x14ac:dyDescent="0.3">
      <c r="A29" s="355"/>
      <c r="B29" s="357"/>
      <c r="C29" s="359"/>
      <c r="D29" s="243" t="s">
        <v>185</v>
      </c>
      <c r="E29" s="231">
        <v>60</v>
      </c>
      <c r="F29" s="232">
        <f t="shared" si="8"/>
        <v>0.2</v>
      </c>
      <c r="G29" s="175">
        <v>99350</v>
      </c>
      <c r="H29" s="124">
        <f>'Табл.2-программа по услуге'!E16</f>
        <v>0.41666666666666669</v>
      </c>
      <c r="I29" s="233">
        <v>16</v>
      </c>
      <c r="J29" s="180">
        <f t="shared" si="9"/>
        <v>517.44791666666674</v>
      </c>
      <c r="K29" s="361"/>
    </row>
    <row r="30" spans="1:11" x14ac:dyDescent="0.25">
      <c r="A30" s="73"/>
      <c r="B30" s="85"/>
      <c r="C30" s="86"/>
      <c r="D30" s="86"/>
      <c r="E30" s="87"/>
      <c r="F30" s="88"/>
      <c r="G30" s="89"/>
      <c r="H30" s="90"/>
      <c r="I30" s="91"/>
      <c r="J30" s="90"/>
      <c r="K30" s="92"/>
    </row>
    <row r="31" spans="1:11" x14ac:dyDescent="0.25">
      <c r="A31" s="20" t="s">
        <v>17</v>
      </c>
      <c r="B31" s="263" t="s">
        <v>45</v>
      </c>
      <c r="C31" s="263"/>
      <c r="D31" s="263"/>
      <c r="E31" s="263"/>
      <c r="F31" s="263"/>
      <c r="G31" s="263"/>
      <c r="H31" s="263"/>
      <c r="I31" s="263"/>
      <c r="J31" s="263"/>
      <c r="K31" s="263"/>
    </row>
  </sheetData>
  <mergeCells count="35">
    <mergeCell ref="A12:A13"/>
    <mergeCell ref="B12:B13"/>
    <mergeCell ref="C12:C13"/>
    <mergeCell ref="K10:K11"/>
    <mergeCell ref="K12:K13"/>
    <mergeCell ref="A6:A9"/>
    <mergeCell ref="C6:C9"/>
    <mergeCell ref="K6:K9"/>
    <mergeCell ref="A10:A11"/>
    <mergeCell ref="B10:B11"/>
    <mergeCell ref="B2:K2"/>
    <mergeCell ref="B3:K3"/>
    <mergeCell ref="C10:C11"/>
    <mergeCell ref="B6:B9"/>
    <mergeCell ref="B31:K31"/>
    <mergeCell ref="A16:A17"/>
    <mergeCell ref="B16:B17"/>
    <mergeCell ref="C16:C17"/>
    <mergeCell ref="K16:K17"/>
    <mergeCell ref="A18:A21"/>
    <mergeCell ref="B18:B21"/>
    <mergeCell ref="C18:C21"/>
    <mergeCell ref="K18:K21"/>
    <mergeCell ref="A28:A29"/>
    <mergeCell ref="B28:B29"/>
    <mergeCell ref="C28:C29"/>
    <mergeCell ref="K28:K29"/>
    <mergeCell ref="A22:A25"/>
    <mergeCell ref="B22:B25"/>
    <mergeCell ref="C22:C25"/>
    <mergeCell ref="K22:K25"/>
    <mergeCell ref="A26:A27"/>
    <mergeCell ref="B26:B27"/>
    <mergeCell ref="C26:C27"/>
    <mergeCell ref="K26:K27"/>
  </mergeCells>
  <pageMargins left="0.31496062992125984" right="0.31496062992125984" top="0.35433070866141736" bottom="0.35433070866141736" header="0.31496062992125984" footer="0.31496062992125984"/>
  <pageSetup paperSize="9" scale="64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"/>
  <sheetViews>
    <sheetView view="pageBreakPreview" zoomScale="85" zoomScaleNormal="85" zoomScaleSheetLayoutView="85" workbookViewId="0">
      <selection activeCell="B6" sqref="B6:J7"/>
    </sheetView>
  </sheetViews>
  <sheetFormatPr defaultRowHeight="15.75" x14ac:dyDescent="0.25"/>
  <cols>
    <col min="1" max="1" width="5.42578125" style="9" customWidth="1"/>
    <col min="2" max="2" width="31" style="9" customWidth="1"/>
    <col min="3" max="3" width="21.28515625" style="9" customWidth="1"/>
    <col min="4" max="4" width="17.42578125" style="9" customWidth="1"/>
    <col min="5" max="5" width="14.7109375" style="9" customWidth="1"/>
    <col min="6" max="6" width="15.42578125" style="9" customWidth="1"/>
    <col min="7" max="7" width="19.42578125" style="10" customWidth="1"/>
    <col min="8" max="8" width="15.28515625" style="10" customWidth="1"/>
    <col min="9" max="9" width="13.28515625" style="9" customWidth="1"/>
    <col min="10" max="10" width="20.5703125" style="9" customWidth="1"/>
    <col min="11" max="16384" width="9.140625" style="9"/>
  </cols>
  <sheetData>
    <row r="1" spans="1:10" x14ac:dyDescent="0.25">
      <c r="J1" s="37" t="s">
        <v>93</v>
      </c>
    </row>
    <row r="2" spans="1:10" s="19" customFormat="1" x14ac:dyDescent="0.25">
      <c r="A2" s="248" t="s">
        <v>122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0" ht="16.5" thickBot="1" x14ac:dyDescent="0.3">
      <c r="B3" s="249"/>
      <c r="C3" s="249"/>
      <c r="D3" s="249"/>
      <c r="E3" s="249"/>
      <c r="F3" s="249"/>
      <c r="G3" s="249"/>
      <c r="H3" s="249"/>
      <c r="I3" s="249"/>
      <c r="J3" s="249"/>
    </row>
    <row r="4" spans="1:10" s="14" customFormat="1" ht="70.5" customHeight="1" thickBot="1" x14ac:dyDescent="0.3">
      <c r="A4" s="50" t="s">
        <v>18</v>
      </c>
      <c r="B4" s="42" t="s">
        <v>106</v>
      </c>
      <c r="C4" s="43" t="s">
        <v>2</v>
      </c>
      <c r="D4" s="43" t="s">
        <v>47</v>
      </c>
      <c r="E4" s="44" t="s">
        <v>50</v>
      </c>
      <c r="F4" s="44" t="s">
        <v>123</v>
      </c>
      <c r="G4" s="45" t="s">
        <v>48</v>
      </c>
      <c r="H4" s="47" t="s">
        <v>71</v>
      </c>
      <c r="I4" s="47" t="s">
        <v>49</v>
      </c>
      <c r="J4" s="49" t="s">
        <v>124</v>
      </c>
    </row>
    <row r="5" spans="1:10" s="54" customFormat="1" ht="45" customHeight="1" thickBot="1" x14ac:dyDescent="0.3">
      <c r="A5" s="51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 t="s">
        <v>77</v>
      </c>
      <c r="H5" s="52">
        <v>8</v>
      </c>
      <c r="I5" s="52" t="s">
        <v>78</v>
      </c>
      <c r="J5" s="66" t="s">
        <v>147</v>
      </c>
    </row>
    <row r="6" spans="1:10" ht="26.25" customHeight="1" x14ac:dyDescent="0.25">
      <c r="A6" s="318"/>
      <c r="B6" s="372"/>
      <c r="C6" s="15"/>
      <c r="D6" s="15"/>
      <c r="E6" s="16"/>
      <c r="F6" s="16"/>
      <c r="G6" s="18"/>
      <c r="H6" s="17"/>
      <c r="I6" s="40"/>
      <c r="J6" s="67"/>
    </row>
    <row r="7" spans="1:10" ht="26.25" customHeight="1" thickBot="1" x14ac:dyDescent="0.3">
      <c r="A7" s="307"/>
      <c r="B7" s="373"/>
      <c r="C7" s="11"/>
      <c r="D7" s="11"/>
      <c r="E7" s="3"/>
      <c r="F7" s="3"/>
      <c r="G7" s="2"/>
      <c r="H7" s="2"/>
      <c r="I7" s="1"/>
      <c r="J7" s="68"/>
    </row>
    <row r="8" spans="1:10" x14ac:dyDescent="0.25">
      <c r="A8" s="318"/>
      <c r="B8" s="372"/>
      <c r="C8" s="31"/>
      <c r="D8" s="15"/>
      <c r="E8" s="16"/>
      <c r="F8" s="16"/>
      <c r="G8" s="18"/>
      <c r="H8" s="17"/>
      <c r="I8" s="40"/>
      <c r="J8" s="69"/>
    </row>
    <row r="9" spans="1:10" ht="16.5" thickBot="1" x14ac:dyDescent="0.3">
      <c r="A9" s="319"/>
      <c r="B9" s="374"/>
      <c r="C9" s="11"/>
      <c r="D9" s="11"/>
      <c r="E9" s="70"/>
      <c r="F9" s="70"/>
      <c r="G9" s="41"/>
      <c r="H9" s="2"/>
      <c r="I9" s="71"/>
      <c r="J9" s="68"/>
    </row>
    <row r="11" spans="1:10" ht="32.25" customHeight="1" x14ac:dyDescent="0.25">
      <c r="A11" s="20" t="s">
        <v>17</v>
      </c>
      <c r="B11" s="252" t="s">
        <v>76</v>
      </c>
      <c r="C11" s="252"/>
      <c r="D11" s="252"/>
      <c r="E11" s="252"/>
      <c r="F11" s="252"/>
      <c r="G11" s="252"/>
      <c r="H11" s="252"/>
      <c r="I11" s="252"/>
      <c r="J11" s="252"/>
    </row>
  </sheetData>
  <mergeCells count="7">
    <mergeCell ref="A2:J2"/>
    <mergeCell ref="B11:J11"/>
    <mergeCell ref="B3:J3"/>
    <mergeCell ref="A6:A7"/>
    <mergeCell ref="B6:B7"/>
    <mergeCell ref="A8:A9"/>
    <mergeCell ref="B8:B9"/>
  </mergeCells>
  <pageMargins left="0.31496062992125984" right="0.31496062992125984" top="0.35433070866141736" bottom="0.35433070866141736" header="0.31496062992125984" footer="0.31496062992125984"/>
  <pageSetup paperSize="9" scale="81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0"/>
  <sheetViews>
    <sheetView view="pageBreakPreview" zoomScale="85" zoomScaleNormal="85" zoomScaleSheetLayoutView="85" workbookViewId="0">
      <selection activeCell="F21" sqref="F21"/>
    </sheetView>
  </sheetViews>
  <sheetFormatPr defaultRowHeight="15.75" x14ac:dyDescent="0.25"/>
  <cols>
    <col min="1" max="1" width="5.42578125" style="9" customWidth="1"/>
    <col min="2" max="2" width="29" style="9" customWidth="1"/>
    <col min="3" max="3" width="21.28515625" style="9" customWidth="1"/>
    <col min="4" max="4" width="28.140625" style="9" customWidth="1"/>
    <col min="5" max="5" width="15.7109375" style="9" customWidth="1"/>
    <col min="6" max="6" width="21.5703125" style="9" customWidth="1"/>
    <col min="7" max="7" width="18.85546875" style="9" customWidth="1"/>
    <col min="8" max="8" width="18.85546875" style="10" customWidth="1"/>
    <col min="9" max="9" width="27.28515625" style="9" customWidth="1"/>
    <col min="10" max="16384" width="9.140625" style="9"/>
  </cols>
  <sheetData>
    <row r="1" spans="1:9" x14ac:dyDescent="0.25">
      <c r="I1" s="37" t="s">
        <v>92</v>
      </c>
    </row>
    <row r="2" spans="1:9" s="19" customFormat="1" x14ac:dyDescent="0.25">
      <c r="A2" s="248" t="s">
        <v>125</v>
      </c>
      <c r="B2" s="248"/>
      <c r="C2" s="248"/>
      <c r="D2" s="248"/>
      <c r="E2" s="248"/>
      <c r="F2" s="248"/>
      <c r="G2" s="248"/>
      <c r="H2" s="248"/>
      <c r="I2" s="248"/>
    </row>
    <row r="3" spans="1:9" ht="16.5" thickBot="1" x14ac:dyDescent="0.3">
      <c r="B3" s="249"/>
      <c r="C3" s="249"/>
      <c r="D3" s="249"/>
      <c r="E3" s="249"/>
      <c r="F3" s="249"/>
      <c r="G3" s="249"/>
      <c r="H3" s="249"/>
      <c r="I3" s="249"/>
    </row>
    <row r="4" spans="1:9" s="14" customFormat="1" ht="38.25" customHeight="1" x14ac:dyDescent="0.25">
      <c r="A4" s="250" t="s">
        <v>18</v>
      </c>
      <c r="B4" s="266" t="s">
        <v>106</v>
      </c>
      <c r="C4" s="264" t="s">
        <v>2</v>
      </c>
      <c r="D4" s="257" t="s">
        <v>51</v>
      </c>
      <c r="E4" s="259" t="s">
        <v>126</v>
      </c>
      <c r="F4" s="260"/>
      <c r="G4" s="297" t="s">
        <v>53</v>
      </c>
      <c r="H4" s="336" t="s">
        <v>127</v>
      </c>
      <c r="I4" s="338" t="s">
        <v>128</v>
      </c>
    </row>
    <row r="5" spans="1:9" s="14" customFormat="1" ht="40.5" customHeight="1" thickBot="1" x14ac:dyDescent="0.3">
      <c r="A5" s="271"/>
      <c r="B5" s="276"/>
      <c r="C5" s="277"/>
      <c r="D5" s="286"/>
      <c r="E5" s="33" t="s">
        <v>69</v>
      </c>
      <c r="F5" s="33" t="s">
        <v>70</v>
      </c>
      <c r="G5" s="298"/>
      <c r="H5" s="337"/>
      <c r="I5" s="339"/>
    </row>
    <row r="6" spans="1:9" s="54" customFormat="1" ht="40.5" customHeight="1" thickBot="1" x14ac:dyDescent="0.3">
      <c r="A6" s="55">
        <v>1</v>
      </c>
      <c r="B6" s="56">
        <v>2</v>
      </c>
      <c r="C6" s="57">
        <v>3</v>
      </c>
      <c r="D6" s="57">
        <v>4</v>
      </c>
      <c r="E6" s="58">
        <v>5</v>
      </c>
      <c r="F6" s="58" t="s">
        <v>149</v>
      </c>
      <c r="G6" s="58">
        <v>7</v>
      </c>
      <c r="H6" s="59" t="s">
        <v>19</v>
      </c>
      <c r="I6" s="60" t="s">
        <v>129</v>
      </c>
    </row>
    <row r="7" spans="1:9" x14ac:dyDescent="0.25">
      <c r="A7" s="318">
        <v>1</v>
      </c>
      <c r="B7" s="372" t="str">
        <f>'Табл.1-расчет стоимости'!B12</f>
        <v>Занятие хореографией</v>
      </c>
      <c r="C7" s="375" t="str">
        <f>'Табл.1-расчет стоимости'!C12</f>
        <v>МАДОУ "Детский сад № 49" г.Тобольска</v>
      </c>
      <c r="D7" s="74" t="s">
        <v>72</v>
      </c>
      <c r="E7" s="17">
        <v>1.48</v>
      </c>
      <c r="F7" s="17">
        <f>E7*'Табл.2-программа по услуге'!I7</f>
        <v>29.6</v>
      </c>
      <c r="G7" s="26">
        <v>0.8</v>
      </c>
      <c r="H7" s="35">
        <f t="shared" ref="H7:H14" si="0">F7*G7</f>
        <v>23.680000000000003</v>
      </c>
      <c r="I7" s="377">
        <f>SUM(H7:H8)</f>
        <v>258.28000000000003</v>
      </c>
    </row>
    <row r="8" spans="1:9" ht="16.5" thickBot="1" x14ac:dyDescent="0.3">
      <c r="A8" s="307"/>
      <c r="B8" s="379"/>
      <c r="C8" s="380"/>
      <c r="D8" s="83" t="s">
        <v>52</v>
      </c>
      <c r="E8" s="25">
        <v>1.7</v>
      </c>
      <c r="F8" s="25">
        <f>'Табл.7-прочие затраты'!E8*'Табл.2-программа по услуге'!I7</f>
        <v>34</v>
      </c>
      <c r="G8" s="27">
        <v>6.9</v>
      </c>
      <c r="H8" s="36">
        <f t="shared" si="0"/>
        <v>234.60000000000002</v>
      </c>
      <c r="I8" s="381"/>
    </row>
    <row r="9" spans="1:9" ht="15.75" customHeight="1" x14ac:dyDescent="0.25">
      <c r="A9" s="318">
        <v>2</v>
      </c>
      <c r="B9" s="372" t="str">
        <f>'Табл.1-расчет стоимости'!B13</f>
        <v>Школа раннего развития</v>
      </c>
      <c r="C9" s="375" t="str">
        <f>'Табл.1-расчет стоимости'!C13</f>
        <v>МАДОУ "Детский сад № 49" г.Тобольска</v>
      </c>
      <c r="D9" s="74" t="s">
        <v>72</v>
      </c>
      <c r="E9" s="17">
        <v>1.48</v>
      </c>
      <c r="F9" s="17">
        <f>E9*'Табл.2-программа по услуге'!I8</f>
        <v>29.6</v>
      </c>
      <c r="G9" s="26">
        <v>0.8</v>
      </c>
      <c r="H9" s="35">
        <f t="shared" si="0"/>
        <v>23.680000000000003</v>
      </c>
      <c r="I9" s="377">
        <f>SUM(H9:H10)</f>
        <v>258.28000000000003</v>
      </c>
    </row>
    <row r="10" spans="1:9" ht="16.5" thickBot="1" x14ac:dyDescent="0.3">
      <c r="A10" s="307"/>
      <c r="B10" s="379"/>
      <c r="C10" s="380"/>
      <c r="D10" s="101" t="s">
        <v>52</v>
      </c>
      <c r="E10" s="25">
        <v>1.7</v>
      </c>
      <c r="F10" s="25">
        <f>'Табл.7-прочие затраты'!E10*'Табл.2-программа по услуге'!I8</f>
        <v>34</v>
      </c>
      <c r="G10" s="27">
        <v>6.9</v>
      </c>
      <c r="H10" s="36">
        <f t="shared" si="0"/>
        <v>234.60000000000002</v>
      </c>
      <c r="I10" s="381"/>
    </row>
    <row r="11" spans="1:9" x14ac:dyDescent="0.25">
      <c r="A11" s="318">
        <v>3</v>
      </c>
      <c r="B11" s="372" t="str">
        <f>'Табл.1-расчет стоимости'!B14</f>
        <v>Подготовка к школе</v>
      </c>
      <c r="C11" s="375" t="str">
        <f>'Табл.1-расчет стоимости'!C14</f>
        <v>МАДОУ "Детский сад № 49" г.Тобольска</v>
      </c>
      <c r="D11" s="74" t="s">
        <v>72</v>
      </c>
      <c r="E11" s="17">
        <v>1.48</v>
      </c>
      <c r="F11" s="17">
        <f>E11*'Табл.2-программа по услуге'!I9</f>
        <v>29.6</v>
      </c>
      <c r="G11" s="26">
        <v>0.8</v>
      </c>
      <c r="H11" s="35">
        <f t="shared" si="0"/>
        <v>23.680000000000003</v>
      </c>
      <c r="I11" s="377">
        <f>SUM(H11:H12)</f>
        <v>258.28000000000003</v>
      </c>
    </row>
    <row r="12" spans="1:9" ht="16.5" thickBot="1" x14ac:dyDescent="0.3">
      <c r="A12" s="307"/>
      <c r="B12" s="379"/>
      <c r="C12" s="380"/>
      <c r="D12" s="101" t="s">
        <v>52</v>
      </c>
      <c r="E12" s="25">
        <v>1.7</v>
      </c>
      <c r="F12" s="25">
        <f>'Табл.7-прочие затраты'!E12*'Табл.2-программа по услуге'!I9</f>
        <v>34</v>
      </c>
      <c r="G12" s="27">
        <v>6.9</v>
      </c>
      <c r="H12" s="36">
        <f t="shared" si="0"/>
        <v>234.60000000000002</v>
      </c>
      <c r="I12" s="381"/>
    </row>
    <row r="13" spans="1:9" x14ac:dyDescent="0.25">
      <c r="A13" s="318">
        <v>4</v>
      </c>
      <c r="B13" s="372" t="str">
        <f>'Табл.1-расчет стоимости'!B15</f>
        <v>Обучение иностранному языку (английский язык)</v>
      </c>
      <c r="C13" s="375" t="str">
        <f>'Табл.1-расчет стоимости'!C15</f>
        <v>МАДОУ "Детский сад № 49" г.Тобольска</v>
      </c>
      <c r="D13" s="74" t="s">
        <v>72</v>
      </c>
      <c r="E13" s="17">
        <v>1.48</v>
      </c>
      <c r="F13" s="17">
        <f>E13*'Табл.2-программа по услуге'!I10</f>
        <v>29.6</v>
      </c>
      <c r="G13" s="26">
        <v>0.8</v>
      </c>
      <c r="H13" s="35">
        <f t="shared" si="0"/>
        <v>23.680000000000003</v>
      </c>
      <c r="I13" s="377">
        <f>SUM(H13:H14)</f>
        <v>258.28000000000003</v>
      </c>
    </row>
    <row r="14" spans="1:9" ht="16.5" thickBot="1" x14ac:dyDescent="0.3">
      <c r="A14" s="319"/>
      <c r="B14" s="374"/>
      <c r="C14" s="376"/>
      <c r="D14" s="188" t="s">
        <v>52</v>
      </c>
      <c r="E14" s="25">
        <v>1.7</v>
      </c>
      <c r="F14" s="189">
        <f>'Табл.7-прочие затраты'!E14*'Табл.2-программа по услуге'!I10</f>
        <v>34</v>
      </c>
      <c r="G14" s="190">
        <v>6.9</v>
      </c>
      <c r="H14" s="191">
        <f t="shared" si="0"/>
        <v>234.60000000000002</v>
      </c>
      <c r="I14" s="378"/>
    </row>
    <row r="15" spans="1:9" x14ac:dyDescent="0.25">
      <c r="A15" s="318">
        <v>5</v>
      </c>
      <c r="B15" s="372" t="str">
        <f>'Табл.1-расчет стоимости'!B17</f>
        <v>Развитие творческих способностей</v>
      </c>
      <c r="C15" s="375" t="str">
        <f>'Табл.1-расчет стоимости'!C17</f>
        <v>МАДОУ "Детский сад № 49" г.Тобольска</v>
      </c>
      <c r="D15" s="74" t="s">
        <v>72</v>
      </c>
      <c r="E15" s="17">
        <v>1.48</v>
      </c>
      <c r="F15" s="17">
        <f>E15*'Табл.2-программа по услуге'!I12</f>
        <v>29.6</v>
      </c>
      <c r="G15" s="26">
        <v>0.8</v>
      </c>
      <c r="H15" s="35">
        <f>F15*G15</f>
        <v>23.680000000000003</v>
      </c>
      <c r="I15" s="377">
        <f t="shared" ref="I15" si="1">SUM(H15:H16)</f>
        <v>258.28000000000003</v>
      </c>
    </row>
    <row r="16" spans="1:9" ht="16.5" thickBot="1" x14ac:dyDescent="0.3">
      <c r="A16" s="319"/>
      <c r="B16" s="374"/>
      <c r="C16" s="376"/>
      <c r="D16" s="202" t="s">
        <v>52</v>
      </c>
      <c r="E16" s="25">
        <v>1.7</v>
      </c>
      <c r="F16" s="189">
        <f>'Табл.7-прочие затраты'!E16*'Табл.2-программа по услуге'!I12</f>
        <v>34</v>
      </c>
      <c r="G16" s="190">
        <v>6.9</v>
      </c>
      <c r="H16" s="191">
        <f t="shared" ref="H16:H20" si="2">F16*G16</f>
        <v>234.60000000000002</v>
      </c>
      <c r="I16" s="378"/>
    </row>
    <row r="17" spans="1:9" x14ac:dyDescent="0.25">
      <c r="A17" s="318">
        <v>6</v>
      </c>
      <c r="B17" s="372" t="str">
        <f>'Табл.1-расчет стоимости'!B19</f>
        <v>Занятие вокалом</v>
      </c>
      <c r="C17" s="375" t="str">
        <f>'Табл.1-расчет стоимости'!C19</f>
        <v>МАДОУ "Детский сад № 49" г.Тобольска</v>
      </c>
      <c r="D17" s="74" t="s">
        <v>72</v>
      </c>
      <c r="E17" s="17">
        <v>1.48</v>
      </c>
      <c r="F17" s="17">
        <f>E17*'Табл.2-программа по услуге'!I13</f>
        <v>29.6</v>
      </c>
      <c r="G17" s="26">
        <v>0.8</v>
      </c>
      <c r="H17" s="35">
        <f t="shared" si="2"/>
        <v>23.680000000000003</v>
      </c>
      <c r="I17" s="377">
        <f t="shared" ref="I17" si="3">SUM(H17:H18)</f>
        <v>258.28000000000003</v>
      </c>
    </row>
    <row r="18" spans="1:9" ht="16.5" thickBot="1" x14ac:dyDescent="0.3">
      <c r="A18" s="319"/>
      <c r="B18" s="374"/>
      <c r="C18" s="376"/>
      <c r="D18" s="202" t="s">
        <v>52</v>
      </c>
      <c r="E18" s="25">
        <v>1.7</v>
      </c>
      <c r="F18" s="189">
        <f>'Табл.7-прочие затраты'!E18*'Табл.2-программа по услуге'!I13</f>
        <v>34</v>
      </c>
      <c r="G18" s="190">
        <v>6.9</v>
      </c>
      <c r="H18" s="191">
        <f t="shared" si="2"/>
        <v>234.60000000000002</v>
      </c>
      <c r="I18" s="378"/>
    </row>
    <row r="19" spans="1:9" x14ac:dyDescent="0.25">
      <c r="A19" s="318">
        <v>7</v>
      </c>
      <c r="B19" s="372" t="str">
        <f>'Табл.1-расчет стоимости'!B20</f>
        <v>Обучение игре шахматам</v>
      </c>
      <c r="C19" s="375" t="str">
        <f>'Табл.1-расчет стоимости'!C20</f>
        <v>МАДОУ "Детский сад № 49" г.Тобольска</v>
      </c>
      <c r="D19" s="74" t="s">
        <v>72</v>
      </c>
      <c r="E19" s="17">
        <v>1.48</v>
      </c>
      <c r="F19" s="17">
        <f>E19*'Табл.2-программа по услуге'!I14</f>
        <v>29.6</v>
      </c>
      <c r="G19" s="26">
        <v>0.8</v>
      </c>
      <c r="H19" s="35">
        <f t="shared" si="2"/>
        <v>23.680000000000003</v>
      </c>
      <c r="I19" s="377">
        <f t="shared" ref="I19" si="4">SUM(H19:H20)</f>
        <v>258.28000000000003</v>
      </c>
    </row>
    <row r="20" spans="1:9" ht="16.5" thickBot="1" x14ac:dyDescent="0.3">
      <c r="A20" s="319"/>
      <c r="B20" s="374"/>
      <c r="C20" s="376"/>
      <c r="D20" s="202" t="s">
        <v>52</v>
      </c>
      <c r="E20" s="25">
        <v>1.7</v>
      </c>
      <c r="F20" s="189">
        <f>'Табл.7-прочие затраты'!E20*'Табл.2-программа по услуге'!I14</f>
        <v>34</v>
      </c>
      <c r="G20" s="190">
        <v>6.9</v>
      </c>
      <c r="H20" s="191">
        <f t="shared" si="2"/>
        <v>234.60000000000002</v>
      </c>
      <c r="I20" s="378"/>
    </row>
    <row r="21" spans="1:9" x14ac:dyDescent="0.25">
      <c r="A21" s="318">
        <v>8</v>
      </c>
      <c r="B21" s="372" t="str">
        <f>'Табл.1-расчет стоимости'!B21</f>
        <v>В гостях у сказки</v>
      </c>
      <c r="C21" s="375" t="str">
        <f>'Табл.1-расчет стоимости'!C21</f>
        <v>МАДОУ "Детский сад № 49" г.Тобольска</v>
      </c>
      <c r="D21" s="74" t="s">
        <v>72</v>
      </c>
      <c r="E21" s="17">
        <v>1.48</v>
      </c>
      <c r="F21" s="17">
        <f>E21*'Табл.2-программа по услуге'!I16</f>
        <v>29.6</v>
      </c>
      <c r="G21" s="26">
        <v>0.8</v>
      </c>
      <c r="H21" s="35">
        <f t="shared" ref="H21:H22" si="5">F21*G21</f>
        <v>23.680000000000003</v>
      </c>
      <c r="I21" s="377">
        <f t="shared" ref="I21" si="6">SUM(H21:H22)</f>
        <v>258.28000000000003</v>
      </c>
    </row>
    <row r="22" spans="1:9" ht="16.5" thickBot="1" x14ac:dyDescent="0.3">
      <c r="A22" s="319"/>
      <c r="B22" s="374"/>
      <c r="C22" s="376"/>
      <c r="D22" s="245" t="s">
        <v>52</v>
      </c>
      <c r="E22" s="25">
        <v>1.7</v>
      </c>
      <c r="F22" s="189">
        <f>'Табл.7-прочие затраты'!E22*'Табл.2-программа по услуге'!I16</f>
        <v>34</v>
      </c>
      <c r="G22" s="190">
        <v>6.9</v>
      </c>
      <c r="H22" s="191">
        <f t="shared" si="5"/>
        <v>234.60000000000002</v>
      </c>
      <c r="I22" s="378"/>
    </row>
    <row r="23" spans="1:9" ht="42" customHeight="1" x14ac:dyDescent="0.25">
      <c r="A23" s="96" t="s">
        <v>28</v>
      </c>
      <c r="B23" s="252" t="s">
        <v>146</v>
      </c>
      <c r="C23" s="252"/>
      <c r="D23" s="252"/>
      <c r="E23" s="252"/>
      <c r="F23" s="252"/>
      <c r="G23" s="252"/>
      <c r="H23" s="252"/>
      <c r="I23" s="252"/>
    </row>
    <row r="24" spans="1:9" ht="32.25" customHeight="1" x14ac:dyDescent="0.25">
      <c r="A24" s="20"/>
      <c r="B24" s="252"/>
      <c r="C24" s="252"/>
      <c r="D24" s="252"/>
      <c r="E24" s="252"/>
      <c r="F24" s="252"/>
      <c r="G24" s="252"/>
      <c r="H24" s="252"/>
      <c r="I24" s="252"/>
    </row>
    <row r="25" spans="1:9" ht="50.25" customHeight="1" x14ac:dyDescent="0.25"/>
    <row r="30" spans="1:9" x14ac:dyDescent="0.25">
      <c r="E30" s="72"/>
      <c r="F30" s="72"/>
    </row>
  </sheetData>
  <mergeCells count="44">
    <mergeCell ref="A2:I2"/>
    <mergeCell ref="I4:I5"/>
    <mergeCell ref="A7:A8"/>
    <mergeCell ref="B7:B8"/>
    <mergeCell ref="C7:C8"/>
    <mergeCell ref="I7:I8"/>
    <mergeCell ref="B3:I3"/>
    <mergeCell ref="A4:A5"/>
    <mergeCell ref="B4:B5"/>
    <mergeCell ref="C4:C5"/>
    <mergeCell ref="D4:D5"/>
    <mergeCell ref="G4:G5"/>
    <mergeCell ref="H4:H5"/>
    <mergeCell ref="A9:A10"/>
    <mergeCell ref="B9:B10"/>
    <mergeCell ref="E4:F4"/>
    <mergeCell ref="B23:I23"/>
    <mergeCell ref="B24:I24"/>
    <mergeCell ref="C9:C10"/>
    <mergeCell ref="I9:I10"/>
    <mergeCell ref="A11:A12"/>
    <mergeCell ref="B11:B12"/>
    <mergeCell ref="C11:C12"/>
    <mergeCell ref="I11:I12"/>
    <mergeCell ref="A13:A14"/>
    <mergeCell ref="B13:B14"/>
    <mergeCell ref="C13:C14"/>
    <mergeCell ref="I13:I14"/>
    <mergeCell ref="A15:A16"/>
    <mergeCell ref="B15:B16"/>
    <mergeCell ref="C15:C16"/>
    <mergeCell ref="I15:I16"/>
    <mergeCell ref="A17:A18"/>
    <mergeCell ref="B17:B18"/>
    <mergeCell ref="C17:C18"/>
    <mergeCell ref="I17:I18"/>
    <mergeCell ref="A21:A22"/>
    <mergeCell ref="B21:B22"/>
    <mergeCell ref="C21:C22"/>
    <mergeCell ref="I21:I22"/>
    <mergeCell ref="A19:A20"/>
    <mergeCell ref="B19:B20"/>
    <mergeCell ref="C19:C20"/>
    <mergeCell ref="I19:I20"/>
  </mergeCells>
  <pageMargins left="0.31496062992125984" right="0.31496062992125984" top="0.35433070866141736" bottom="0.35433070866141736" header="0.31496062992125984" footer="0.31496062992125984"/>
  <pageSetup paperSize="9" scale="75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"/>
  <sheetViews>
    <sheetView view="pageBreakPreview" zoomScale="85" zoomScaleNormal="85" zoomScaleSheetLayoutView="85" workbookViewId="0">
      <selection activeCell="D7" sqref="D7"/>
    </sheetView>
  </sheetViews>
  <sheetFormatPr defaultRowHeight="15.75" x14ac:dyDescent="0.25"/>
  <cols>
    <col min="1" max="1" width="5.42578125" style="9" customWidth="1"/>
    <col min="2" max="2" width="19" style="9" customWidth="1"/>
    <col min="3" max="3" width="23.5703125" style="9" customWidth="1"/>
    <col min="4" max="4" width="16" style="9" customWidth="1"/>
    <col min="5" max="7" width="18.140625" style="9" customWidth="1"/>
    <col min="8" max="8" width="14.42578125" style="9" customWidth="1"/>
    <col min="9" max="9" width="18.7109375" style="9" customWidth="1"/>
    <col min="10" max="10" width="24.42578125" style="9" customWidth="1"/>
    <col min="11" max="11" width="13.85546875" style="9" customWidth="1"/>
    <col min="12" max="12" width="17.140625" style="9" customWidth="1"/>
    <col min="13" max="13" width="15.42578125" style="9" customWidth="1"/>
    <col min="14" max="16384" width="9.140625" style="9"/>
  </cols>
  <sheetData>
    <row r="1" spans="1:13" x14ac:dyDescent="0.25">
      <c r="M1" s="37" t="s">
        <v>91</v>
      </c>
    </row>
    <row r="2" spans="1:13" s="19" customFormat="1" x14ac:dyDescent="0.25">
      <c r="A2" s="248" t="s">
        <v>130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 ht="16.5" thickBot="1" x14ac:dyDescent="0.3">
      <c r="B3" s="388"/>
      <c r="C3" s="388"/>
      <c r="D3" s="388"/>
      <c r="E3" s="388"/>
      <c r="F3" s="388"/>
      <c r="G3" s="388"/>
      <c r="H3" s="388"/>
    </row>
    <row r="4" spans="1:13" s="14" customFormat="1" ht="36" customHeight="1" x14ac:dyDescent="0.25">
      <c r="A4" s="386" t="s">
        <v>18</v>
      </c>
      <c r="B4" s="264" t="s">
        <v>2</v>
      </c>
      <c r="C4" s="264" t="s">
        <v>26</v>
      </c>
      <c r="D4" s="257" t="s">
        <v>27</v>
      </c>
      <c r="E4" s="257" t="s">
        <v>29</v>
      </c>
      <c r="F4" s="257" t="s">
        <v>30</v>
      </c>
      <c r="G4" s="257" t="s">
        <v>37</v>
      </c>
      <c r="H4" s="278" t="s">
        <v>31</v>
      </c>
      <c r="I4" s="264" t="s">
        <v>32</v>
      </c>
      <c r="J4" s="268" t="s">
        <v>131</v>
      </c>
      <c r="K4" s="382" t="s">
        <v>84</v>
      </c>
      <c r="L4" s="264"/>
      <c r="M4" s="383"/>
    </row>
    <row r="5" spans="1:13" s="14" customFormat="1" ht="68.25" customHeight="1" thickBot="1" x14ac:dyDescent="0.3">
      <c r="A5" s="387"/>
      <c r="B5" s="384"/>
      <c r="C5" s="384"/>
      <c r="D5" s="258"/>
      <c r="E5" s="258"/>
      <c r="F5" s="258"/>
      <c r="G5" s="258"/>
      <c r="H5" s="389"/>
      <c r="I5" s="384"/>
      <c r="J5" s="385"/>
      <c r="K5" s="77" t="s">
        <v>59</v>
      </c>
      <c r="L5" s="78" t="s">
        <v>85</v>
      </c>
      <c r="M5" s="93" t="s">
        <v>60</v>
      </c>
    </row>
    <row r="6" spans="1:13" s="64" customFormat="1" ht="26.25" thickBot="1" x14ac:dyDescent="0.3">
      <c r="A6" s="62">
        <v>1</v>
      </c>
      <c r="B6" s="63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8">
        <v>8</v>
      </c>
      <c r="I6" s="56" t="s">
        <v>79</v>
      </c>
      <c r="J6" s="65">
        <v>10</v>
      </c>
      <c r="K6" s="76" t="s">
        <v>80</v>
      </c>
      <c r="L6" s="58">
        <v>12</v>
      </c>
      <c r="M6" s="79">
        <v>13</v>
      </c>
    </row>
    <row r="7" spans="1:13" ht="66.75" customHeight="1" thickBot="1" x14ac:dyDescent="0.3">
      <c r="A7" s="192">
        <v>1</v>
      </c>
      <c r="B7" s="133" t="s">
        <v>163</v>
      </c>
      <c r="C7" s="146">
        <v>390491.8</v>
      </c>
      <c r="D7" s="146">
        <v>10000</v>
      </c>
      <c r="E7" s="146">
        <v>50000</v>
      </c>
      <c r="F7" s="146">
        <v>50000</v>
      </c>
      <c r="G7" s="146">
        <v>50000</v>
      </c>
      <c r="H7" s="144"/>
      <c r="I7" s="146">
        <f>SUM(C7:H7)</f>
        <v>550491.80000000005</v>
      </c>
      <c r="J7" s="146">
        <f>'Табл.3 - ФОТ'!X9+'Табл.3 - ФОТ'!X10+'Табл.3 - ФОТ'!X11+'Табл.3 - ФОТ'!X12+'Табл.3 - ФОТ'!X13</f>
        <v>3256674.7739146021</v>
      </c>
      <c r="K7" s="146">
        <f>I7/J7</f>
        <v>0.16903493232095004</v>
      </c>
      <c r="L7" s="151">
        <v>1</v>
      </c>
      <c r="M7" s="193">
        <f>IF(K7&gt;1,L7,IF(K7&lt;1,K7, IF(K7=1,K7)))</f>
        <v>0.16903493232095004</v>
      </c>
    </row>
    <row r="9" spans="1:13" ht="18" customHeight="1" x14ac:dyDescent="0.25">
      <c r="A9" s="84" t="s">
        <v>83</v>
      </c>
      <c r="B9" s="252" t="s">
        <v>82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</row>
    <row r="10" spans="1:13" x14ac:dyDescent="0.25">
      <c r="A10" s="97" t="s">
        <v>28</v>
      </c>
      <c r="B10" s="263" t="s">
        <v>151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</row>
    <row r="11" spans="1:13" ht="21.75" customHeight="1" x14ac:dyDescent="0.25">
      <c r="A11" s="97" t="s">
        <v>33</v>
      </c>
      <c r="B11" s="252" t="s">
        <v>34</v>
      </c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</row>
  </sheetData>
  <mergeCells count="16">
    <mergeCell ref="B10:M10"/>
    <mergeCell ref="B11:M11"/>
    <mergeCell ref="B9:M9"/>
    <mergeCell ref="A2:M2"/>
    <mergeCell ref="K4:M4"/>
    <mergeCell ref="I4:I5"/>
    <mergeCell ref="J4:J5"/>
    <mergeCell ref="A4:A5"/>
    <mergeCell ref="D4:D5"/>
    <mergeCell ref="B3:H3"/>
    <mergeCell ref="B4:B5"/>
    <mergeCell ref="C4:C5"/>
    <mergeCell ref="E4:E5"/>
    <mergeCell ref="F4:F5"/>
    <mergeCell ref="G4:G5"/>
    <mergeCell ref="H4:H5"/>
  </mergeCells>
  <pageMargins left="0.31496062992125984" right="0.31496062992125984" top="0.35433070866141736" bottom="0.35433070866141736" header="0.31496062992125984" footer="0.31496062992125984"/>
  <pageSetup paperSize="9" scale="6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Табл.1-расчет стоимости</vt:lpstr>
      <vt:lpstr>Табл.2-программа по услуге</vt:lpstr>
      <vt:lpstr>Табл.3 - ФОТ</vt:lpstr>
      <vt:lpstr>Табл.4-материалы</vt:lpstr>
      <vt:lpstr>Табл.5-амортизация</vt:lpstr>
      <vt:lpstr>Табл.6-ГСМ</vt:lpstr>
      <vt:lpstr>Табл.7-прочие затраты</vt:lpstr>
      <vt:lpstr>Табл.8-накладные расходы</vt:lpstr>
      <vt:lpstr>'Табл.1-расчет стоимости'!Область_печати</vt:lpstr>
      <vt:lpstr>'Табл.2-программа по услуге'!Область_печати</vt:lpstr>
      <vt:lpstr>'Табл.3 - ФОТ'!Область_печати</vt:lpstr>
      <vt:lpstr>'Табл.4-материалы'!Область_печати</vt:lpstr>
      <vt:lpstr>'Табл.5-амортизация'!Область_печати</vt:lpstr>
      <vt:lpstr>'Табл.6-ГСМ'!Область_печати</vt:lpstr>
      <vt:lpstr>'Табл.7-прочие затраты'!Область_печати</vt:lpstr>
      <vt:lpstr>'Табл.8-накладные расходы'!Область_печати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2024-12-12T10:07:04Z</cp:lastPrinted>
  <dcterms:created xsi:type="dcterms:W3CDTF">2022-03-23T04:54:46Z</dcterms:created>
  <dcterms:modified xsi:type="dcterms:W3CDTF">2025-09-26T09:17:50Z</dcterms:modified>
</cp:coreProperties>
</file>